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188" yWindow="6036" windowWidth="9636" windowHeight="5580" tabRatio="926"/>
  </bookViews>
  <sheets>
    <sheet name="ИЖД" sheetId="77" r:id="rId1"/>
    <sheet name="МКД для населения" sheetId="79" r:id="rId2"/>
    <sheet name="МКД с НФУ для населения" sheetId="80" r:id="rId3"/>
    <sheet name="Расчет тариф ставки (2)" sheetId="61" state="hidden" r:id="rId4"/>
    <sheet name="Прил 3.1" sheetId="18" state="hidden" r:id="rId5"/>
    <sheet name="стоимость" sheetId="54" state="hidden" r:id="rId6"/>
    <sheet name="Диаграмма2" sheetId="55" state="hidden" r:id="rId7"/>
    <sheet name="Диаграмма2 (2)" sheetId="56" state="hidden" r:id="rId8"/>
    <sheet name="стоимость (с Прейс 2011)" sheetId="57" state="hidden" r:id="rId9"/>
    <sheet name="Диаграмма2 (3)" sheetId="58" state="hidden" r:id="rId10"/>
    <sheet name="Диаграмма2 (4)" sheetId="59" state="hidden" r:id="rId11"/>
    <sheet name="Физлица (инд. дом) 29 мая  (2)" sheetId="66" state="hidden" r:id="rId12"/>
    <sheet name="Лист1" sheetId="65" state="hidden" r:id="rId13"/>
    <sheet name="Физлица (инд.дом) Прилож №1 " sheetId="67" state="hidden" r:id="rId14"/>
    <sheet name="Физлица (мног. дом) Прилож №3" sheetId="68" state="hidden" r:id="rId15"/>
    <sheet name="Прейскурант 06 апреля06г." sheetId="69" state="hidden" r:id="rId16"/>
    <sheet name="1 этаж (2011)" sheetId="32" state="hidden" r:id="rId17"/>
    <sheet name="2 этажа (2011)" sheetId="33" state="hidden" r:id="rId18"/>
    <sheet name="3 этажа (2011)" sheetId="34" state="hidden" r:id="rId19"/>
    <sheet name="4 этажа (2011)" sheetId="35" state="hidden" r:id="rId20"/>
    <sheet name="5 этажей  (2011)" sheetId="36" state="hidden" r:id="rId21"/>
    <sheet name="6 этажей  (2011)" sheetId="37" state="hidden" r:id="rId22"/>
    <sheet name="7 этажей  (2011)" sheetId="38" state="hidden" r:id="rId23"/>
    <sheet name="8 этажей  (2011)" sheetId="39" state="hidden" r:id="rId24"/>
    <sheet name="9 этажей  (2011)" sheetId="40" state="hidden" r:id="rId25"/>
    <sheet name="10 этажей  (2011)" sheetId="41" state="hidden" r:id="rId26"/>
    <sheet name="1 этаж (2011 с колонками)" sheetId="42" state="hidden" r:id="rId27"/>
    <sheet name="2 этажа (2011 с колонками)" sheetId="43" state="hidden" r:id="rId28"/>
    <sheet name="3 этажа (2011 с колонками)" sheetId="44" state="hidden" r:id="rId29"/>
    <sheet name="4 этажа (2011с колонками)" sheetId="45" state="hidden" r:id="rId30"/>
    <sheet name="5 этажей  (2011 с колонками)" sheetId="46" state="hidden" r:id="rId31"/>
    <sheet name="разница" sheetId="10" state="hidden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B65537">#REF!</definedName>
    <definedName name="___B65538">#REF!</definedName>
    <definedName name="___CST11" localSheetId="0">[1]Волжский!#REF!</definedName>
    <definedName name="___CST11" localSheetId="1">[1]Волжский!#REF!</definedName>
    <definedName name="___CST11" localSheetId="2">[1]Волжский!#REF!</definedName>
    <definedName name="___CST11" localSheetId="3">[1]Волжский!#REF!</definedName>
    <definedName name="___CST11" localSheetId="11">[1]Волжский!#REF!</definedName>
    <definedName name="___CST11">[1]Волжский!#REF!</definedName>
    <definedName name="___CST12" localSheetId="0">[1]Волжский!#REF!</definedName>
    <definedName name="___CST12" localSheetId="1">[1]Волжский!#REF!</definedName>
    <definedName name="___CST12" localSheetId="2">[1]Волжский!#REF!</definedName>
    <definedName name="___CST12" localSheetId="3">[1]Волжский!#REF!</definedName>
    <definedName name="___CST12" localSheetId="11">[1]Волжский!#REF!</definedName>
    <definedName name="___CST12">[1]Волжский!#REF!</definedName>
    <definedName name="___CST13" localSheetId="0">[1]Волжский!#REF!</definedName>
    <definedName name="___CST13" localSheetId="1">[1]Волжский!#REF!</definedName>
    <definedName name="___CST13" localSheetId="2">[1]Волжский!#REF!</definedName>
    <definedName name="___CST13" localSheetId="3">[1]Волжский!#REF!</definedName>
    <definedName name="___CST13" localSheetId="11">[1]Волжский!#REF!</definedName>
    <definedName name="___CST13">[1]Волжский!#REF!</definedName>
    <definedName name="___CST14" localSheetId="0">[1]Волжский!#REF!</definedName>
    <definedName name="___CST14" localSheetId="1">[1]Волжский!#REF!</definedName>
    <definedName name="___CST14" localSheetId="2">[1]Волжский!#REF!</definedName>
    <definedName name="___CST14" localSheetId="3">[1]Волжский!#REF!</definedName>
    <definedName name="___CST14" localSheetId="11">[1]Волжский!#REF!</definedName>
    <definedName name="___CST14">[1]Волжский!#REF!</definedName>
    <definedName name="___CST21" localSheetId="0">[1]Волжский!#REF!</definedName>
    <definedName name="___CST21" localSheetId="1">[1]Волжский!#REF!</definedName>
    <definedName name="___CST21" localSheetId="2">[1]Волжский!#REF!</definedName>
    <definedName name="___CST21" localSheetId="3">[1]Волжский!#REF!</definedName>
    <definedName name="___CST21" localSheetId="11">[1]Волжский!#REF!</definedName>
    <definedName name="___CST21">[1]Волжский!#REF!</definedName>
    <definedName name="___CST22" localSheetId="0">[1]Волжский!#REF!</definedName>
    <definedName name="___CST22" localSheetId="1">[1]Волжский!#REF!</definedName>
    <definedName name="___CST22" localSheetId="2">[1]Волжский!#REF!</definedName>
    <definedName name="___CST22" localSheetId="3">[1]Волжский!#REF!</definedName>
    <definedName name="___CST22" localSheetId="11">[1]Волжский!#REF!</definedName>
    <definedName name="___CST22">[1]Волжский!#REF!</definedName>
    <definedName name="___CST23" localSheetId="0">[1]Волжский!#REF!</definedName>
    <definedName name="___CST23" localSheetId="1">[1]Волжский!#REF!</definedName>
    <definedName name="___CST23" localSheetId="2">[1]Волжский!#REF!</definedName>
    <definedName name="___CST23" localSheetId="3">[1]Волжский!#REF!</definedName>
    <definedName name="___CST23" localSheetId="11">[1]Волжский!#REF!</definedName>
    <definedName name="___CST23">[1]Волжский!#REF!</definedName>
    <definedName name="___CST24" localSheetId="0">[1]Волжский!#REF!</definedName>
    <definedName name="___CST24" localSheetId="1">[1]Волжский!#REF!</definedName>
    <definedName name="___CST24" localSheetId="2">[1]Волжский!#REF!</definedName>
    <definedName name="___CST24" localSheetId="3">[1]Волжский!#REF!</definedName>
    <definedName name="___CST24" localSheetId="11">[1]Волжский!#REF!</definedName>
    <definedName name="___CST24">[1]Волжский!#REF!</definedName>
    <definedName name="___IRR1" localSheetId="0">[1]Волжский!#REF!</definedName>
    <definedName name="___IRR1" localSheetId="1">[1]Волжский!#REF!</definedName>
    <definedName name="___IRR1" localSheetId="2">[1]Волжский!#REF!</definedName>
    <definedName name="___IRR1" localSheetId="3">[1]Волжский!#REF!</definedName>
    <definedName name="___IRR1" localSheetId="11">[1]Волжский!#REF!</definedName>
    <definedName name="___IRR1">[1]Волжский!#REF!</definedName>
    <definedName name="___NPV1" localSheetId="0">[1]Волжский!#REF!</definedName>
    <definedName name="___NPV1" localSheetId="1">[1]Волжский!#REF!</definedName>
    <definedName name="___NPV1" localSheetId="2">[1]Волжский!#REF!</definedName>
    <definedName name="___NPV1" localSheetId="3">[1]Волжский!#REF!</definedName>
    <definedName name="___NPV1" localSheetId="11">[1]Волжский!#REF!</definedName>
    <definedName name="___NPV1">[1]Волжский!#REF!</definedName>
    <definedName name="___PR11" localSheetId="0">[1]Волжский!#REF!</definedName>
    <definedName name="___PR11" localSheetId="1">[1]Волжский!#REF!</definedName>
    <definedName name="___PR11" localSheetId="2">[1]Волжский!#REF!</definedName>
    <definedName name="___PR11" localSheetId="3">[1]Волжский!#REF!</definedName>
    <definedName name="___PR11" localSheetId="11">[1]Волжский!#REF!</definedName>
    <definedName name="___PR11">[1]Волжский!#REF!</definedName>
    <definedName name="___PR12" localSheetId="0">[1]Волжский!#REF!</definedName>
    <definedName name="___PR12" localSheetId="1">[1]Волжский!#REF!</definedName>
    <definedName name="___PR12" localSheetId="2">[1]Волжский!#REF!</definedName>
    <definedName name="___PR12" localSheetId="3">[1]Волжский!#REF!</definedName>
    <definedName name="___PR12" localSheetId="11">[1]Волжский!#REF!</definedName>
    <definedName name="___PR12">[1]Волжский!#REF!</definedName>
    <definedName name="___PR13" localSheetId="0">[1]Волжский!#REF!</definedName>
    <definedName name="___PR13" localSheetId="1">[1]Волжский!#REF!</definedName>
    <definedName name="___PR13" localSheetId="2">[1]Волжский!#REF!</definedName>
    <definedName name="___PR13" localSheetId="3">[1]Волжский!#REF!</definedName>
    <definedName name="___PR13" localSheetId="11">[1]Волжский!#REF!</definedName>
    <definedName name="___PR13">[1]Волжский!#REF!</definedName>
    <definedName name="___PR21" localSheetId="0">[1]Волжский!#REF!</definedName>
    <definedName name="___PR21" localSheetId="1">[1]Волжский!#REF!</definedName>
    <definedName name="___PR21" localSheetId="2">[1]Волжский!#REF!</definedName>
    <definedName name="___PR21" localSheetId="3">[1]Волжский!#REF!</definedName>
    <definedName name="___PR21" localSheetId="11">[1]Волжский!#REF!</definedName>
    <definedName name="___PR21">[1]Волжский!#REF!</definedName>
    <definedName name="___PR22" localSheetId="0">[1]Волжский!#REF!</definedName>
    <definedName name="___PR22" localSheetId="1">[1]Волжский!#REF!</definedName>
    <definedName name="___PR22" localSheetId="2">[1]Волжский!#REF!</definedName>
    <definedName name="___PR22" localSheetId="3">[1]Волжский!#REF!</definedName>
    <definedName name="___PR22" localSheetId="11">[1]Волжский!#REF!</definedName>
    <definedName name="___PR22">[1]Волжский!#REF!</definedName>
    <definedName name="___PR23" localSheetId="0">[1]Волжский!#REF!</definedName>
    <definedName name="___PR23" localSheetId="1">[1]Волжский!#REF!</definedName>
    <definedName name="___PR23" localSheetId="2">[1]Волжский!#REF!</definedName>
    <definedName name="___PR23" localSheetId="3">[1]Волжский!#REF!</definedName>
    <definedName name="___PR23" localSheetId="11">[1]Волжский!#REF!</definedName>
    <definedName name="___PR23">[1]Волжский!#REF!</definedName>
    <definedName name="___RAZ1">#REF!</definedName>
    <definedName name="___RAZ2">#REF!</definedName>
    <definedName name="___RAZ3">#REF!</definedName>
    <definedName name="___SAL1" localSheetId="0">[1]Волжский!#REF!</definedName>
    <definedName name="___SAL1" localSheetId="1">[1]Волжский!#REF!</definedName>
    <definedName name="___SAL1" localSheetId="2">[1]Волжский!#REF!</definedName>
    <definedName name="___SAL1" localSheetId="3">[1]Волжский!#REF!</definedName>
    <definedName name="___SAL1" localSheetId="11">[1]Волжский!#REF!</definedName>
    <definedName name="___SAL1">[1]Волжский!#REF!</definedName>
    <definedName name="___SAL2" localSheetId="0">[1]Волжский!#REF!</definedName>
    <definedName name="___SAL2" localSheetId="1">[1]Волжский!#REF!</definedName>
    <definedName name="___SAL2" localSheetId="2">[1]Волжский!#REF!</definedName>
    <definedName name="___SAL2" localSheetId="3">[1]Волжский!#REF!</definedName>
    <definedName name="___SAL2" localSheetId="11">[1]Волжский!#REF!</definedName>
    <definedName name="___SAL2">[1]Волжский!#REF!</definedName>
    <definedName name="___SAL3" localSheetId="0">[1]Волжский!#REF!</definedName>
    <definedName name="___SAL3" localSheetId="1">[1]Волжский!#REF!</definedName>
    <definedName name="___SAL3" localSheetId="2">[1]Волжский!#REF!</definedName>
    <definedName name="___SAL3" localSheetId="3">[1]Волжский!#REF!</definedName>
    <definedName name="___SAL3" localSheetId="11">[1]Волжский!#REF!</definedName>
    <definedName name="___SAL3">[1]Волжский!#REF!</definedName>
    <definedName name="___SAL4" localSheetId="0">[1]Волжский!#REF!</definedName>
    <definedName name="___SAL4" localSheetId="1">[1]Волжский!#REF!</definedName>
    <definedName name="___SAL4" localSheetId="2">[1]Волжский!#REF!</definedName>
    <definedName name="___SAL4" localSheetId="3">[1]Волжский!#REF!</definedName>
    <definedName name="___SAL4" localSheetId="11">[1]Волжский!#REF!</definedName>
    <definedName name="___SAL4">[1]Волжский!#REF!</definedName>
    <definedName name="___tab24" localSheetId="0">[1]Волжский!#REF!</definedName>
    <definedName name="___tab24" localSheetId="1">[1]Волжский!#REF!</definedName>
    <definedName name="___tab24" localSheetId="2">[1]Волжский!#REF!</definedName>
    <definedName name="___tab24" localSheetId="3">[1]Волжский!#REF!</definedName>
    <definedName name="___tab24" localSheetId="11">[1]Волжский!#REF!</definedName>
    <definedName name="___tab24">[1]Волжский!#REF!</definedName>
    <definedName name="___tab27" localSheetId="0">[1]Волжский!#REF!</definedName>
    <definedName name="___tab27" localSheetId="1">[1]Волжский!#REF!</definedName>
    <definedName name="___tab27" localSheetId="2">[1]Волжский!#REF!</definedName>
    <definedName name="___tab27" localSheetId="3">[1]Волжский!#REF!</definedName>
    <definedName name="___tab27" localSheetId="11">[1]Волжский!#REF!</definedName>
    <definedName name="___tab27">[1]Волжский!#REF!</definedName>
    <definedName name="___tab28" localSheetId="0">[1]Волжский!#REF!</definedName>
    <definedName name="___tab28" localSheetId="1">[1]Волжский!#REF!</definedName>
    <definedName name="___tab28" localSheetId="2">[1]Волжский!#REF!</definedName>
    <definedName name="___tab28" localSheetId="3">[1]Волжский!#REF!</definedName>
    <definedName name="___tab28" localSheetId="11">[1]Волжский!#REF!</definedName>
    <definedName name="___tab28">[1]Волжский!#REF!</definedName>
    <definedName name="___tab6" localSheetId="0">[1]Волжский!#REF!</definedName>
    <definedName name="___tab6" localSheetId="1">[1]Волжский!#REF!</definedName>
    <definedName name="___tab6" localSheetId="2">[1]Волжский!#REF!</definedName>
    <definedName name="___tab6" localSheetId="3">[1]Волжский!#REF!</definedName>
    <definedName name="___tab6" localSheetId="11">[1]Волжский!#REF!</definedName>
    <definedName name="___tab6">[1]Волжский!#REF!</definedName>
    <definedName name="___tab8" localSheetId="0">[1]Волжский!#REF!</definedName>
    <definedName name="___tab8" localSheetId="1">[1]Волжский!#REF!</definedName>
    <definedName name="___tab8" localSheetId="2">[1]Волжский!#REF!</definedName>
    <definedName name="___tab8" localSheetId="3">[1]Волжский!#REF!</definedName>
    <definedName name="___tab8" localSheetId="11">[1]Волжский!#REF!</definedName>
    <definedName name="___tab8">[1]Волжский!#REF!</definedName>
    <definedName name="___TXS1" localSheetId="0">[1]Волжский!#REF!</definedName>
    <definedName name="___TXS1" localSheetId="1">[1]Волжский!#REF!</definedName>
    <definedName name="___TXS1" localSheetId="2">[1]Волжский!#REF!</definedName>
    <definedName name="___TXS1" localSheetId="3">[1]Волжский!#REF!</definedName>
    <definedName name="___TXS1" localSheetId="11">[1]Волжский!#REF!</definedName>
    <definedName name="___TXS1">[1]Волжский!#REF!</definedName>
    <definedName name="___TXS2" localSheetId="0">[1]Волжский!#REF!</definedName>
    <definedName name="___TXS2" localSheetId="1">[1]Волжский!#REF!</definedName>
    <definedName name="___TXS2" localSheetId="2">[1]Волжский!#REF!</definedName>
    <definedName name="___TXS2" localSheetId="3">[1]Волжский!#REF!</definedName>
    <definedName name="___TXS2" localSheetId="11">[1]Волжский!#REF!</definedName>
    <definedName name="___TXS2">[1]Волжский!#REF!</definedName>
    <definedName name="__B65537" localSheetId="0">#REF!</definedName>
    <definedName name="__B65537" localSheetId="1">#REF!</definedName>
    <definedName name="__B65537" localSheetId="2">#REF!</definedName>
    <definedName name="__B65537" localSheetId="3">#REF!</definedName>
    <definedName name="__B65537" localSheetId="11">#REF!</definedName>
    <definedName name="__B65537">#REF!</definedName>
    <definedName name="__B65538" localSheetId="0">#REF!</definedName>
    <definedName name="__B65538" localSheetId="1">#REF!</definedName>
    <definedName name="__B65538" localSheetId="2">#REF!</definedName>
    <definedName name="__B65538" localSheetId="3">#REF!</definedName>
    <definedName name="__B65538" localSheetId="11">#REF!</definedName>
    <definedName name="__B65538">#REF!</definedName>
    <definedName name="__CST11" localSheetId="0">[1]Волжский!#REF!</definedName>
    <definedName name="__CST11" localSheetId="1">[1]Волжский!#REF!</definedName>
    <definedName name="__CST11" localSheetId="2">[1]Волжский!#REF!</definedName>
    <definedName name="__CST11" localSheetId="3">[1]Волжский!#REF!</definedName>
    <definedName name="__CST11" localSheetId="11">[1]Волжский!#REF!</definedName>
    <definedName name="__CST11">[1]Волжский!#REF!</definedName>
    <definedName name="__CST12" localSheetId="0">[1]Волжский!#REF!</definedName>
    <definedName name="__CST12" localSheetId="1">[1]Волжский!#REF!</definedName>
    <definedName name="__CST12" localSheetId="2">[1]Волжский!#REF!</definedName>
    <definedName name="__CST12" localSheetId="3">[1]Волжский!#REF!</definedName>
    <definedName name="__CST12" localSheetId="11">[1]Волжский!#REF!</definedName>
    <definedName name="__CST12">[1]Волжский!#REF!</definedName>
    <definedName name="__CST13" localSheetId="0">[1]Волжский!#REF!</definedName>
    <definedName name="__CST13" localSheetId="1">[1]Волжский!#REF!</definedName>
    <definedName name="__CST13" localSheetId="2">[1]Волжский!#REF!</definedName>
    <definedName name="__CST13" localSheetId="3">[1]Волжский!#REF!</definedName>
    <definedName name="__CST13" localSheetId="11">[1]Волжский!#REF!</definedName>
    <definedName name="__CST13">[1]Волжский!#REF!</definedName>
    <definedName name="__CST14" localSheetId="0">[1]Волжский!#REF!</definedName>
    <definedName name="__CST14" localSheetId="1">[1]Волжский!#REF!</definedName>
    <definedName name="__CST14" localSheetId="2">[1]Волжский!#REF!</definedName>
    <definedName name="__CST14" localSheetId="3">[1]Волжский!#REF!</definedName>
    <definedName name="__CST14" localSheetId="11">[1]Волжский!#REF!</definedName>
    <definedName name="__CST14">[1]Волжский!#REF!</definedName>
    <definedName name="__CST21" localSheetId="0">[1]Волжский!#REF!</definedName>
    <definedName name="__CST21" localSheetId="1">[1]Волжский!#REF!</definedName>
    <definedName name="__CST21" localSheetId="2">[1]Волжский!#REF!</definedName>
    <definedName name="__CST21" localSheetId="3">[1]Волжский!#REF!</definedName>
    <definedName name="__CST21" localSheetId="11">[1]Волжский!#REF!</definedName>
    <definedName name="__CST21">[1]Волжский!#REF!</definedName>
    <definedName name="__CST22" localSheetId="0">[1]Волжский!#REF!</definedName>
    <definedName name="__CST22" localSheetId="1">[1]Волжский!#REF!</definedName>
    <definedName name="__CST22" localSheetId="2">[1]Волжский!#REF!</definedName>
    <definedName name="__CST22" localSheetId="3">[1]Волжский!#REF!</definedName>
    <definedName name="__CST22" localSheetId="11">[1]Волжский!#REF!</definedName>
    <definedName name="__CST22">[1]Волжский!#REF!</definedName>
    <definedName name="__CST23" localSheetId="0">[1]Волжский!#REF!</definedName>
    <definedName name="__CST23" localSheetId="1">[1]Волжский!#REF!</definedName>
    <definedName name="__CST23" localSheetId="2">[1]Волжский!#REF!</definedName>
    <definedName name="__CST23" localSheetId="3">[1]Волжский!#REF!</definedName>
    <definedName name="__CST23" localSheetId="11">[1]Волжский!#REF!</definedName>
    <definedName name="__CST23">[1]Волжский!#REF!</definedName>
    <definedName name="__CST24" localSheetId="0">[1]Волжский!#REF!</definedName>
    <definedName name="__CST24" localSheetId="1">[1]Волжский!#REF!</definedName>
    <definedName name="__CST24" localSheetId="2">[1]Волжский!#REF!</definedName>
    <definedName name="__CST24" localSheetId="3">[1]Волжский!#REF!</definedName>
    <definedName name="__CST24" localSheetId="11">[1]Волжский!#REF!</definedName>
    <definedName name="__CST24">[1]Волжский!#REF!</definedName>
    <definedName name="__IRR1" localSheetId="0">[1]Волжский!#REF!</definedName>
    <definedName name="__IRR1" localSheetId="1">[1]Волжский!#REF!</definedName>
    <definedName name="__IRR1" localSheetId="2">[1]Волжский!#REF!</definedName>
    <definedName name="__IRR1" localSheetId="3">[1]Волжский!#REF!</definedName>
    <definedName name="__IRR1" localSheetId="11">[1]Волжский!#REF!</definedName>
    <definedName name="__IRR1">[1]Волжский!#REF!</definedName>
    <definedName name="__NPV1" localSheetId="0">[1]Волжский!#REF!</definedName>
    <definedName name="__NPV1" localSheetId="1">[1]Волжский!#REF!</definedName>
    <definedName name="__NPV1" localSheetId="2">[1]Волжский!#REF!</definedName>
    <definedName name="__NPV1" localSheetId="3">[1]Волжский!#REF!</definedName>
    <definedName name="__NPV1" localSheetId="11">[1]Волжский!#REF!</definedName>
    <definedName name="__NPV1">[1]Волжский!#REF!</definedName>
    <definedName name="__PR11" localSheetId="0">[1]Волжский!#REF!</definedName>
    <definedName name="__PR11" localSheetId="1">[1]Волжский!#REF!</definedName>
    <definedName name="__PR11" localSheetId="2">[1]Волжский!#REF!</definedName>
    <definedName name="__PR11" localSheetId="3">[1]Волжский!#REF!</definedName>
    <definedName name="__PR11" localSheetId="11">[1]Волжский!#REF!</definedName>
    <definedName name="__PR11">[1]Волжский!#REF!</definedName>
    <definedName name="__PR12" localSheetId="0">[1]Волжский!#REF!</definedName>
    <definedName name="__PR12" localSheetId="1">[1]Волжский!#REF!</definedName>
    <definedName name="__PR12" localSheetId="2">[1]Волжский!#REF!</definedName>
    <definedName name="__PR12" localSheetId="3">[1]Волжский!#REF!</definedName>
    <definedName name="__PR12" localSheetId="11">[1]Волжский!#REF!</definedName>
    <definedName name="__PR12">[1]Волжский!#REF!</definedName>
    <definedName name="__PR13" localSheetId="0">[1]Волжский!#REF!</definedName>
    <definedName name="__PR13" localSheetId="1">[1]Волжский!#REF!</definedName>
    <definedName name="__PR13" localSheetId="2">[1]Волжский!#REF!</definedName>
    <definedName name="__PR13" localSheetId="3">[1]Волжский!#REF!</definedName>
    <definedName name="__PR13" localSheetId="11">[1]Волжский!#REF!</definedName>
    <definedName name="__PR13">[1]Волжский!#REF!</definedName>
    <definedName name="__PR21" localSheetId="0">[1]Волжский!#REF!</definedName>
    <definedName name="__PR21" localSheetId="1">[1]Волжский!#REF!</definedName>
    <definedName name="__PR21" localSheetId="2">[1]Волжский!#REF!</definedName>
    <definedName name="__PR21" localSheetId="3">[1]Волжский!#REF!</definedName>
    <definedName name="__PR21" localSheetId="11">[1]Волжский!#REF!</definedName>
    <definedName name="__PR21">[1]Волжский!#REF!</definedName>
    <definedName name="__PR22" localSheetId="0">[1]Волжский!#REF!</definedName>
    <definedName name="__PR22" localSheetId="1">[1]Волжский!#REF!</definedName>
    <definedName name="__PR22" localSheetId="2">[1]Волжский!#REF!</definedName>
    <definedName name="__PR22" localSheetId="3">[1]Волжский!#REF!</definedName>
    <definedName name="__PR22" localSheetId="11">[1]Волжский!#REF!</definedName>
    <definedName name="__PR22">[1]Волжский!#REF!</definedName>
    <definedName name="__PR23" localSheetId="0">[1]Волжский!#REF!</definedName>
    <definedName name="__PR23" localSheetId="1">[1]Волжский!#REF!</definedName>
    <definedName name="__PR23" localSheetId="2">[1]Волжский!#REF!</definedName>
    <definedName name="__PR23" localSheetId="3">[1]Волжский!#REF!</definedName>
    <definedName name="__PR23" localSheetId="11">[1]Волжский!#REF!</definedName>
    <definedName name="__PR23">[1]Волжский!#REF!</definedName>
    <definedName name="__RAZ1" localSheetId="0">#REF!</definedName>
    <definedName name="__RAZ1" localSheetId="1">#REF!</definedName>
    <definedName name="__RAZ1" localSheetId="2">#REF!</definedName>
    <definedName name="__RAZ1" localSheetId="3">#REF!</definedName>
    <definedName name="__RAZ1" localSheetId="11">#REF!</definedName>
    <definedName name="__RAZ1">#REF!</definedName>
    <definedName name="__RAZ2" localSheetId="0">#REF!</definedName>
    <definedName name="__RAZ2" localSheetId="1">#REF!</definedName>
    <definedName name="__RAZ2" localSheetId="2">#REF!</definedName>
    <definedName name="__RAZ2" localSheetId="3">#REF!</definedName>
    <definedName name="__RAZ2" localSheetId="11">#REF!</definedName>
    <definedName name="__RAZ2">#REF!</definedName>
    <definedName name="__RAZ3" localSheetId="0">#REF!</definedName>
    <definedName name="__RAZ3" localSheetId="1">#REF!</definedName>
    <definedName name="__RAZ3" localSheetId="2">#REF!</definedName>
    <definedName name="__RAZ3" localSheetId="3">#REF!</definedName>
    <definedName name="__RAZ3" localSheetId="11">#REF!</definedName>
    <definedName name="__RAZ3">#REF!</definedName>
    <definedName name="__SAL1" localSheetId="0">[1]Волжский!#REF!</definedName>
    <definedName name="__SAL1" localSheetId="1">[1]Волжский!#REF!</definedName>
    <definedName name="__SAL1" localSheetId="2">[1]Волжский!#REF!</definedName>
    <definedName name="__SAL1" localSheetId="3">[1]Волжский!#REF!</definedName>
    <definedName name="__SAL1" localSheetId="11">[1]Волжский!#REF!</definedName>
    <definedName name="__SAL1">[1]Волжский!#REF!</definedName>
    <definedName name="__SAL2" localSheetId="0">[1]Волжский!#REF!</definedName>
    <definedName name="__SAL2" localSheetId="1">[1]Волжский!#REF!</definedName>
    <definedName name="__SAL2" localSheetId="2">[1]Волжский!#REF!</definedName>
    <definedName name="__SAL2" localSheetId="3">[1]Волжский!#REF!</definedName>
    <definedName name="__SAL2" localSheetId="11">[1]Волжский!#REF!</definedName>
    <definedName name="__SAL2">[1]Волжский!#REF!</definedName>
    <definedName name="__SAL3" localSheetId="0">[1]Волжский!#REF!</definedName>
    <definedName name="__SAL3" localSheetId="1">[1]Волжский!#REF!</definedName>
    <definedName name="__SAL3" localSheetId="2">[1]Волжский!#REF!</definedName>
    <definedName name="__SAL3" localSheetId="3">[1]Волжский!#REF!</definedName>
    <definedName name="__SAL3" localSheetId="11">[1]Волжский!#REF!</definedName>
    <definedName name="__SAL3">[1]Волжский!#REF!</definedName>
    <definedName name="__SAL4" localSheetId="0">[1]Волжский!#REF!</definedName>
    <definedName name="__SAL4" localSheetId="1">[1]Волжский!#REF!</definedName>
    <definedName name="__SAL4" localSheetId="2">[1]Волжский!#REF!</definedName>
    <definedName name="__SAL4" localSheetId="3">[1]Волжский!#REF!</definedName>
    <definedName name="__SAL4" localSheetId="11">[1]Волжский!#REF!</definedName>
    <definedName name="__SAL4">[1]Волжский!#REF!</definedName>
    <definedName name="__tab24" localSheetId="0">[1]Волжский!#REF!</definedName>
    <definedName name="__tab24" localSheetId="1">[1]Волжский!#REF!</definedName>
    <definedName name="__tab24" localSheetId="2">[1]Волжский!#REF!</definedName>
    <definedName name="__tab24" localSheetId="3">[1]Волжский!#REF!</definedName>
    <definedName name="__tab24" localSheetId="11">[1]Волжский!#REF!</definedName>
    <definedName name="__tab24">[1]Волжский!#REF!</definedName>
    <definedName name="__tab27" localSheetId="0">[1]Волжский!#REF!</definedName>
    <definedName name="__tab27" localSheetId="1">[1]Волжский!#REF!</definedName>
    <definedName name="__tab27" localSheetId="2">[1]Волжский!#REF!</definedName>
    <definedName name="__tab27" localSheetId="3">[1]Волжский!#REF!</definedName>
    <definedName name="__tab27" localSheetId="11">[1]Волжский!#REF!</definedName>
    <definedName name="__tab27">[1]Волжский!#REF!</definedName>
    <definedName name="__tab28" localSheetId="0">[1]Волжский!#REF!</definedName>
    <definedName name="__tab28" localSheetId="1">[1]Волжский!#REF!</definedName>
    <definedName name="__tab28" localSheetId="2">[1]Волжский!#REF!</definedName>
    <definedName name="__tab28" localSheetId="3">[1]Волжский!#REF!</definedName>
    <definedName name="__tab28" localSheetId="11">[1]Волжский!#REF!</definedName>
    <definedName name="__tab28">[1]Волжский!#REF!</definedName>
    <definedName name="__tab6" localSheetId="0">[1]Волжский!#REF!</definedName>
    <definedName name="__tab6" localSheetId="1">[1]Волжский!#REF!</definedName>
    <definedName name="__tab6" localSheetId="2">[1]Волжский!#REF!</definedName>
    <definedName name="__tab6" localSheetId="3">[1]Волжский!#REF!</definedName>
    <definedName name="__tab6" localSheetId="11">[1]Волжский!#REF!</definedName>
    <definedName name="__tab6">[1]Волжский!#REF!</definedName>
    <definedName name="__tab8" localSheetId="0">[1]Волжский!#REF!</definedName>
    <definedName name="__tab8" localSheetId="1">[1]Волжский!#REF!</definedName>
    <definedName name="__tab8" localSheetId="2">[1]Волжский!#REF!</definedName>
    <definedName name="__tab8" localSheetId="3">[1]Волжский!#REF!</definedName>
    <definedName name="__tab8" localSheetId="11">[1]Волжский!#REF!</definedName>
    <definedName name="__tab8">[1]Волжский!#REF!</definedName>
    <definedName name="__TXS1" localSheetId="0">[1]Волжский!#REF!</definedName>
    <definedName name="__TXS1" localSheetId="1">[1]Волжский!#REF!</definedName>
    <definedName name="__TXS1" localSheetId="2">[1]Волжский!#REF!</definedName>
    <definedName name="__TXS1" localSheetId="3">[1]Волжский!#REF!</definedName>
    <definedName name="__TXS1" localSheetId="11">[1]Волжский!#REF!</definedName>
    <definedName name="__TXS1">[1]Волжский!#REF!</definedName>
    <definedName name="__TXS2" localSheetId="0">[1]Волжский!#REF!</definedName>
    <definedName name="__TXS2" localSheetId="1">[1]Волжский!#REF!</definedName>
    <definedName name="__TXS2" localSheetId="2">[1]Волжский!#REF!</definedName>
    <definedName name="__TXS2" localSheetId="3">[1]Волжский!#REF!</definedName>
    <definedName name="__TXS2" localSheetId="11">[1]Волжский!#REF!</definedName>
    <definedName name="__TXS2">[1]Волжский!#REF!</definedName>
    <definedName name="_B65537" localSheetId="0">#REF!</definedName>
    <definedName name="_B65537" localSheetId="1">#REF!</definedName>
    <definedName name="_B65537" localSheetId="2">#REF!</definedName>
    <definedName name="_B65537" localSheetId="3">#REF!</definedName>
    <definedName name="_B65537" localSheetId="11">#REF!</definedName>
    <definedName name="_B65537">#REF!</definedName>
    <definedName name="_B65538" localSheetId="0">#REF!</definedName>
    <definedName name="_B65538" localSheetId="1">#REF!</definedName>
    <definedName name="_B65538" localSheetId="2">#REF!</definedName>
    <definedName name="_B65538" localSheetId="3">#REF!</definedName>
    <definedName name="_B65538" localSheetId="11">#REF!</definedName>
    <definedName name="_B65538">#REF!</definedName>
    <definedName name="_CST11" localSheetId="0">[1]Волжский!#REF!</definedName>
    <definedName name="_CST11" localSheetId="1">[1]Волжский!#REF!</definedName>
    <definedName name="_CST11" localSheetId="2">[1]Волжский!#REF!</definedName>
    <definedName name="_CST11" localSheetId="3">[1]Волжский!#REF!</definedName>
    <definedName name="_CST11" localSheetId="11">[1]Волжский!#REF!</definedName>
    <definedName name="_CST11">[1]Волжский!#REF!</definedName>
    <definedName name="_CST12" localSheetId="0">[1]Волжский!#REF!</definedName>
    <definedName name="_CST12" localSheetId="1">[1]Волжский!#REF!</definedName>
    <definedName name="_CST12" localSheetId="2">[1]Волжский!#REF!</definedName>
    <definedName name="_CST12" localSheetId="3">[1]Волжский!#REF!</definedName>
    <definedName name="_CST12" localSheetId="11">[1]Волжский!#REF!</definedName>
    <definedName name="_CST12">[1]Волжский!#REF!</definedName>
    <definedName name="_CST13" localSheetId="0">[1]Волжский!#REF!</definedName>
    <definedName name="_CST13" localSheetId="1">[1]Волжский!#REF!</definedName>
    <definedName name="_CST13" localSheetId="2">[1]Волжский!#REF!</definedName>
    <definedName name="_CST13" localSheetId="3">[1]Волжский!#REF!</definedName>
    <definedName name="_CST13" localSheetId="11">[1]Волжский!#REF!</definedName>
    <definedName name="_CST13">[1]Волжский!#REF!</definedName>
    <definedName name="_CST14" localSheetId="0">[1]Волжский!#REF!</definedName>
    <definedName name="_CST14" localSheetId="1">[1]Волжский!#REF!</definedName>
    <definedName name="_CST14" localSheetId="2">[1]Волжский!#REF!</definedName>
    <definedName name="_CST14" localSheetId="3">[1]Волжский!#REF!</definedName>
    <definedName name="_CST14" localSheetId="11">[1]Волжский!#REF!</definedName>
    <definedName name="_CST14">[1]Волжский!#REF!</definedName>
    <definedName name="_CST21" localSheetId="0">[1]Волжский!#REF!</definedName>
    <definedName name="_CST21" localSheetId="1">[1]Волжский!#REF!</definedName>
    <definedName name="_CST21" localSheetId="2">[1]Волжский!#REF!</definedName>
    <definedName name="_CST21" localSheetId="3">[1]Волжский!#REF!</definedName>
    <definedName name="_CST21" localSheetId="11">[1]Волжский!#REF!</definedName>
    <definedName name="_CST21">[1]Волжский!#REF!</definedName>
    <definedName name="_CST22" localSheetId="0">[1]Волжский!#REF!</definedName>
    <definedName name="_CST22" localSheetId="1">[1]Волжский!#REF!</definedName>
    <definedName name="_CST22" localSheetId="2">[1]Волжский!#REF!</definedName>
    <definedName name="_CST22" localSheetId="3">[1]Волжский!#REF!</definedName>
    <definedName name="_CST22" localSheetId="11">[1]Волжский!#REF!</definedName>
    <definedName name="_CST22">[1]Волжский!#REF!</definedName>
    <definedName name="_CST23" localSheetId="0">[1]Волжский!#REF!</definedName>
    <definedName name="_CST23" localSheetId="1">[1]Волжский!#REF!</definedName>
    <definedName name="_CST23" localSheetId="2">[1]Волжский!#REF!</definedName>
    <definedName name="_CST23" localSheetId="3">[1]Волжский!#REF!</definedName>
    <definedName name="_CST23" localSheetId="11">[1]Волжский!#REF!</definedName>
    <definedName name="_CST23">[1]Волжский!#REF!</definedName>
    <definedName name="_CST24" localSheetId="0">[1]Волжский!#REF!</definedName>
    <definedName name="_CST24" localSheetId="1">[1]Волжский!#REF!</definedName>
    <definedName name="_CST24" localSheetId="2">[1]Волжский!#REF!</definedName>
    <definedName name="_CST24" localSheetId="3">[1]Волжский!#REF!</definedName>
    <definedName name="_CST24" localSheetId="11">[1]Волжский!#REF!</definedName>
    <definedName name="_CST24">[1]Волжский!#REF!</definedName>
    <definedName name="_IRR1" localSheetId="0">[1]Волжский!#REF!</definedName>
    <definedName name="_IRR1" localSheetId="1">[1]Волжский!#REF!</definedName>
    <definedName name="_IRR1" localSheetId="2">[1]Волжский!#REF!</definedName>
    <definedName name="_IRR1" localSheetId="3">[1]Волжский!#REF!</definedName>
    <definedName name="_IRR1" localSheetId="11">[1]Волжский!#REF!</definedName>
    <definedName name="_IRR1">[1]Волжский!#REF!</definedName>
    <definedName name="_NPV1" localSheetId="0">[1]Волжский!#REF!</definedName>
    <definedName name="_NPV1" localSheetId="1">[1]Волжский!#REF!</definedName>
    <definedName name="_NPV1" localSheetId="2">[1]Волжский!#REF!</definedName>
    <definedName name="_NPV1" localSheetId="3">[1]Волжский!#REF!</definedName>
    <definedName name="_NPV1" localSheetId="11">[1]Волжский!#REF!</definedName>
    <definedName name="_NPV1">[1]Волжский!#REF!</definedName>
    <definedName name="_PR11" localSheetId="0">[1]Волжский!#REF!</definedName>
    <definedName name="_PR11" localSheetId="1">[1]Волжский!#REF!</definedName>
    <definedName name="_PR11" localSheetId="2">[1]Волжский!#REF!</definedName>
    <definedName name="_PR11" localSheetId="3">[1]Волжский!#REF!</definedName>
    <definedName name="_PR11" localSheetId="11">[1]Волжский!#REF!</definedName>
    <definedName name="_PR11">[1]Волжский!#REF!</definedName>
    <definedName name="_PR12" localSheetId="0">[1]Волжский!#REF!</definedName>
    <definedName name="_PR12" localSheetId="1">[1]Волжский!#REF!</definedName>
    <definedName name="_PR12" localSheetId="2">[1]Волжский!#REF!</definedName>
    <definedName name="_PR12" localSheetId="3">[1]Волжский!#REF!</definedName>
    <definedName name="_PR12" localSheetId="11">[1]Волжский!#REF!</definedName>
    <definedName name="_PR12">[1]Волжский!#REF!</definedName>
    <definedName name="_PR13" localSheetId="0">[1]Волжский!#REF!</definedName>
    <definedName name="_PR13" localSheetId="1">[1]Волжский!#REF!</definedName>
    <definedName name="_PR13" localSheetId="2">[1]Волжский!#REF!</definedName>
    <definedName name="_PR13" localSheetId="3">[1]Волжский!#REF!</definedName>
    <definedName name="_PR13" localSheetId="11">[1]Волжский!#REF!</definedName>
    <definedName name="_PR13">[1]Волжский!#REF!</definedName>
    <definedName name="_PR21" localSheetId="0">[1]Волжский!#REF!</definedName>
    <definedName name="_PR21" localSheetId="1">[1]Волжский!#REF!</definedName>
    <definedName name="_PR21" localSheetId="2">[1]Волжский!#REF!</definedName>
    <definedName name="_PR21" localSheetId="3">[1]Волжский!#REF!</definedName>
    <definedName name="_PR21" localSheetId="11">[1]Волжский!#REF!</definedName>
    <definedName name="_PR21">[1]Волжский!#REF!</definedName>
    <definedName name="_PR22" localSheetId="0">[1]Волжский!#REF!</definedName>
    <definedName name="_PR22" localSheetId="1">[1]Волжский!#REF!</definedName>
    <definedName name="_PR22" localSheetId="2">[1]Волжский!#REF!</definedName>
    <definedName name="_PR22" localSheetId="3">[1]Волжский!#REF!</definedName>
    <definedName name="_PR22" localSheetId="11">[1]Волжский!#REF!</definedName>
    <definedName name="_PR22">[1]Волжский!#REF!</definedName>
    <definedName name="_PR23" localSheetId="0">[1]Волжский!#REF!</definedName>
    <definedName name="_PR23" localSheetId="1">[1]Волжский!#REF!</definedName>
    <definedName name="_PR23" localSheetId="2">[1]Волжский!#REF!</definedName>
    <definedName name="_PR23" localSheetId="3">[1]Волжский!#REF!</definedName>
    <definedName name="_PR23" localSheetId="11">[1]Волжский!#REF!</definedName>
    <definedName name="_PR23">[1]Волжский!#REF!</definedName>
    <definedName name="_RAZ1" localSheetId="0">#REF!</definedName>
    <definedName name="_RAZ1" localSheetId="1">#REF!</definedName>
    <definedName name="_RAZ1" localSheetId="2">#REF!</definedName>
    <definedName name="_RAZ1" localSheetId="3">#REF!</definedName>
    <definedName name="_RAZ1" localSheetId="11">#REF!</definedName>
    <definedName name="_RAZ1">#REF!</definedName>
    <definedName name="_RAZ2" localSheetId="0">#REF!</definedName>
    <definedName name="_RAZ2" localSheetId="1">#REF!</definedName>
    <definedName name="_RAZ2" localSheetId="2">#REF!</definedName>
    <definedName name="_RAZ2" localSheetId="3">#REF!</definedName>
    <definedName name="_RAZ2" localSheetId="11">#REF!</definedName>
    <definedName name="_RAZ2">#REF!</definedName>
    <definedName name="_RAZ3" localSheetId="0">#REF!</definedName>
    <definedName name="_RAZ3" localSheetId="1">#REF!</definedName>
    <definedName name="_RAZ3" localSheetId="2">#REF!</definedName>
    <definedName name="_RAZ3" localSheetId="3">#REF!</definedName>
    <definedName name="_RAZ3" localSheetId="11">#REF!</definedName>
    <definedName name="_RAZ3">#REF!</definedName>
    <definedName name="_SAL1" localSheetId="0">[1]Волжский!#REF!</definedName>
    <definedName name="_SAL1" localSheetId="1">[1]Волжский!#REF!</definedName>
    <definedName name="_SAL1" localSheetId="2">[1]Волжский!#REF!</definedName>
    <definedName name="_SAL1" localSheetId="3">[1]Волжский!#REF!</definedName>
    <definedName name="_SAL1" localSheetId="11">[1]Волжский!#REF!</definedName>
    <definedName name="_SAL1">[1]Волжский!#REF!</definedName>
    <definedName name="_SAL2" localSheetId="0">[1]Волжский!#REF!</definedName>
    <definedName name="_SAL2" localSheetId="1">[1]Волжский!#REF!</definedName>
    <definedName name="_SAL2" localSheetId="2">[1]Волжский!#REF!</definedName>
    <definedName name="_SAL2" localSheetId="3">[1]Волжский!#REF!</definedName>
    <definedName name="_SAL2" localSheetId="11">[1]Волжский!#REF!</definedName>
    <definedName name="_SAL2">[1]Волжский!#REF!</definedName>
    <definedName name="_SAL3" localSheetId="0">[1]Волжский!#REF!</definedName>
    <definedName name="_SAL3" localSheetId="1">[1]Волжский!#REF!</definedName>
    <definedName name="_SAL3" localSheetId="2">[1]Волжский!#REF!</definedName>
    <definedName name="_SAL3" localSheetId="3">[1]Волжский!#REF!</definedName>
    <definedName name="_SAL3" localSheetId="11">[1]Волжский!#REF!</definedName>
    <definedName name="_SAL3">[1]Волжский!#REF!</definedName>
    <definedName name="_SAL4" localSheetId="0">[1]Волжский!#REF!</definedName>
    <definedName name="_SAL4" localSheetId="1">[1]Волжский!#REF!</definedName>
    <definedName name="_SAL4" localSheetId="2">[1]Волжский!#REF!</definedName>
    <definedName name="_SAL4" localSheetId="3">[1]Волжский!#REF!</definedName>
    <definedName name="_SAL4" localSheetId="11">[1]Волжский!#REF!</definedName>
    <definedName name="_SAL4">[1]Волжский!#REF!</definedName>
    <definedName name="_tab24" localSheetId="0">[1]Волжский!#REF!</definedName>
    <definedName name="_tab24" localSheetId="1">[1]Волжский!#REF!</definedName>
    <definedName name="_tab24" localSheetId="2">[1]Волжский!#REF!</definedName>
    <definedName name="_tab24" localSheetId="3">[1]Волжский!#REF!</definedName>
    <definedName name="_tab24" localSheetId="11">[1]Волжский!#REF!</definedName>
    <definedName name="_tab24">[1]Волжский!#REF!</definedName>
    <definedName name="_tab27" localSheetId="0">[1]Волжский!#REF!</definedName>
    <definedName name="_tab27" localSheetId="1">[1]Волжский!#REF!</definedName>
    <definedName name="_tab27" localSheetId="2">[1]Волжский!#REF!</definedName>
    <definedName name="_tab27" localSheetId="3">[1]Волжский!#REF!</definedName>
    <definedName name="_tab27" localSheetId="11">[1]Волжский!#REF!</definedName>
    <definedName name="_tab27">[1]Волжский!#REF!</definedName>
    <definedName name="_tab28" localSheetId="0">[1]Волжский!#REF!</definedName>
    <definedName name="_tab28" localSheetId="1">[1]Волжский!#REF!</definedName>
    <definedName name="_tab28" localSheetId="2">[1]Волжский!#REF!</definedName>
    <definedName name="_tab28" localSheetId="3">[1]Волжский!#REF!</definedName>
    <definedName name="_tab28" localSheetId="11">[1]Волжский!#REF!</definedName>
    <definedName name="_tab28">[1]Волжский!#REF!</definedName>
    <definedName name="_tab6" localSheetId="0">[1]Волжский!#REF!</definedName>
    <definedName name="_tab6" localSheetId="1">[1]Волжский!#REF!</definedName>
    <definedName name="_tab6" localSheetId="2">[1]Волжский!#REF!</definedName>
    <definedName name="_tab6" localSheetId="3">[1]Волжский!#REF!</definedName>
    <definedName name="_tab6" localSheetId="11">[1]Волжский!#REF!</definedName>
    <definedName name="_tab6">[1]Волжский!#REF!</definedName>
    <definedName name="_tab8" localSheetId="0">[1]Волжский!#REF!</definedName>
    <definedName name="_tab8" localSheetId="1">[1]Волжский!#REF!</definedName>
    <definedName name="_tab8" localSheetId="2">[1]Волжский!#REF!</definedName>
    <definedName name="_tab8" localSheetId="3">[1]Волжский!#REF!</definedName>
    <definedName name="_tab8" localSheetId="11">[1]Волжский!#REF!</definedName>
    <definedName name="_tab8">[1]Волжский!#REF!</definedName>
    <definedName name="_TXS1" localSheetId="0">[1]Волжский!#REF!</definedName>
    <definedName name="_TXS1" localSheetId="1">[1]Волжский!#REF!</definedName>
    <definedName name="_TXS1" localSheetId="2">[1]Волжский!#REF!</definedName>
    <definedName name="_TXS1" localSheetId="3">[1]Волжский!#REF!</definedName>
    <definedName name="_TXS1" localSheetId="11">[1]Волжский!#REF!</definedName>
    <definedName name="_TXS1">[1]Волжский!#REF!</definedName>
    <definedName name="_TXS2" localSheetId="0">[1]Волжский!#REF!</definedName>
    <definedName name="_TXS2" localSheetId="1">[1]Волжский!#REF!</definedName>
    <definedName name="_TXS2" localSheetId="2">[1]Волжский!#REF!</definedName>
    <definedName name="_TXS2" localSheetId="3">[1]Волжский!#REF!</definedName>
    <definedName name="_TXS2" localSheetId="11">[1]Волжский!#REF!</definedName>
    <definedName name="_TXS2">[1]Волжский!#REF!</definedName>
    <definedName name="_xlnm._FilterDatabase" localSheetId="1" hidden="1">'МКД для населения'!$A$6:$I$38</definedName>
    <definedName name="_xlnm._FilterDatabase" localSheetId="15" hidden="1">'Прейскурант 06 апреля06г.'!$A$14:$T$393</definedName>
    <definedName name="_xlnm._FilterDatabase" localSheetId="3" hidden="1">'Расчет тариф ставки (2)'!$A$9:$R$11</definedName>
    <definedName name="_xlnm._FilterDatabase" localSheetId="13" hidden="1">'Физлица (инд.дом) Прилож №1 '!$A$15:$O$44</definedName>
    <definedName name="_xlnm._FilterDatabase" localSheetId="14" hidden="1">'Физлица (мног. дом) Прилож №3'!$A$9:$O$33</definedName>
    <definedName name="cashlocal" localSheetId="0">[1]Волжский!#REF!</definedName>
    <definedName name="cashlocal" localSheetId="1">[1]Волжский!#REF!</definedName>
    <definedName name="cashlocal" localSheetId="2">[1]Волжский!#REF!</definedName>
    <definedName name="cashlocal" localSheetId="3">[1]Волжский!#REF!</definedName>
    <definedName name="cashlocal" localSheetId="11">[1]Волжский!#REF!</definedName>
    <definedName name="cashlocal">[1]Волжский!#REF!</definedName>
    <definedName name="COST1" localSheetId="0">[1]Волжский!#REF!</definedName>
    <definedName name="COST1" localSheetId="1">[1]Волжский!#REF!</definedName>
    <definedName name="COST1" localSheetId="2">[1]Волжский!#REF!</definedName>
    <definedName name="COST1" localSheetId="3">[1]Волжский!#REF!</definedName>
    <definedName name="COST1" localSheetId="11">[1]Волжский!#REF!</definedName>
    <definedName name="COST1">[1]Волжский!#REF!</definedName>
    <definedName name="COST2" localSheetId="0">[1]Волжский!#REF!</definedName>
    <definedName name="COST2" localSheetId="1">[1]Волжский!#REF!</definedName>
    <definedName name="COST2" localSheetId="2">[1]Волжский!#REF!</definedName>
    <definedName name="COST2" localSheetId="3">[1]Волжский!#REF!</definedName>
    <definedName name="COST2" localSheetId="11">[1]Волжский!#REF!</definedName>
    <definedName name="COST2">[1]Волжский!#REF!</definedName>
    <definedName name="DPAYB" localSheetId="0">[1]Волжский!#REF!</definedName>
    <definedName name="DPAYB" localSheetId="1">[1]Волжский!#REF!</definedName>
    <definedName name="DPAYB" localSheetId="2">[1]Волжский!#REF!</definedName>
    <definedName name="DPAYB" localSheetId="3">[1]Волжский!#REF!</definedName>
    <definedName name="DPAYB" localSheetId="11">[1]Волжский!#REF!</definedName>
    <definedName name="DPAYB">[1]Волжский!#REF!</definedName>
    <definedName name="ISHOD1">#REF!</definedName>
    <definedName name="ISHOD2_1">#REF!</definedName>
    <definedName name="ISHOD2_2">#REF!</definedName>
    <definedName name="koeff5" localSheetId="0">[1]Волжский!#REF!</definedName>
    <definedName name="koeff5" localSheetId="1">[1]Волжский!#REF!</definedName>
    <definedName name="koeff5" localSheetId="2">[1]Волжский!#REF!</definedName>
    <definedName name="koeff5" localSheetId="3">[1]Волжский!#REF!</definedName>
    <definedName name="koeff5" localSheetId="11">[1]Волжский!#REF!</definedName>
    <definedName name="koeff5">[1]Волжский!#REF!</definedName>
    <definedName name="labor_costs" localSheetId="0">[1]Волжский!#REF!</definedName>
    <definedName name="labor_costs" localSheetId="1">[1]Волжский!#REF!</definedName>
    <definedName name="labor_costs" localSheetId="2">[1]Волжский!#REF!</definedName>
    <definedName name="labor_costs" localSheetId="3">[1]Волжский!#REF!</definedName>
    <definedName name="labor_costs" localSheetId="11">[1]Волжский!#REF!</definedName>
    <definedName name="labor_costs">[1]Волжский!#REF!</definedName>
    <definedName name="NPVR" localSheetId="0">[1]Волжский!#REF!</definedName>
    <definedName name="NPVR" localSheetId="1">[1]Волжский!#REF!</definedName>
    <definedName name="NPVR" localSheetId="2">[1]Волжский!#REF!</definedName>
    <definedName name="NPVR" localSheetId="3">[1]Волжский!#REF!</definedName>
    <definedName name="NPVR" localSheetId="11">[1]Волжский!#REF!</definedName>
    <definedName name="NPVR">[1]Волжский!#REF!</definedName>
    <definedName name="OTCST1" localSheetId="0">[1]Волжский!#REF!</definedName>
    <definedName name="OTCST1" localSheetId="1">[1]Волжский!#REF!</definedName>
    <definedName name="OTCST1" localSheetId="2">[1]Волжский!#REF!</definedName>
    <definedName name="OTCST1" localSheetId="3">[1]Волжский!#REF!</definedName>
    <definedName name="OTCST1" localSheetId="11">[1]Волжский!#REF!</definedName>
    <definedName name="OTCST1">[1]Волжский!#REF!</definedName>
    <definedName name="OTCST2" localSheetId="0">[1]Волжский!#REF!</definedName>
    <definedName name="OTCST2" localSheetId="1">[1]Волжский!#REF!</definedName>
    <definedName name="OTCST2" localSheetId="2">[1]Волжский!#REF!</definedName>
    <definedName name="OTCST2" localSheetId="3">[1]Волжский!#REF!</definedName>
    <definedName name="OTCST2" localSheetId="11">[1]Волжский!#REF!</definedName>
    <definedName name="OTCST2">[1]Волжский!#REF!</definedName>
    <definedName name="OTCST3" localSheetId="0">[1]Волжский!#REF!</definedName>
    <definedName name="OTCST3" localSheetId="1">[1]Волжский!#REF!</definedName>
    <definedName name="OTCST3" localSheetId="2">[1]Волжский!#REF!</definedName>
    <definedName name="OTCST3" localSheetId="3">[1]Волжский!#REF!</definedName>
    <definedName name="OTCST3" localSheetId="11">[1]Волжский!#REF!</definedName>
    <definedName name="OTCST3">[1]Волжский!#REF!</definedName>
    <definedName name="OTHER_COST2" localSheetId="0">[1]Волжский!#REF!</definedName>
    <definedName name="OTHER_COST2" localSheetId="1">[1]Волжский!#REF!</definedName>
    <definedName name="OTHER_COST2" localSheetId="2">[1]Волжский!#REF!</definedName>
    <definedName name="OTHER_COST2" localSheetId="3">[1]Волжский!#REF!</definedName>
    <definedName name="OTHER_COST2" localSheetId="11">[1]Волжский!#REF!</definedName>
    <definedName name="OTHER_COST2">[1]Волжский!#REF!</definedName>
    <definedName name="OTHER_COST3" localSheetId="0">[1]Волжский!#REF!</definedName>
    <definedName name="OTHER_COST3" localSheetId="1">[1]Волжский!#REF!</definedName>
    <definedName name="OTHER_COST3" localSheetId="2">[1]Волжский!#REF!</definedName>
    <definedName name="OTHER_COST3" localSheetId="3">[1]Волжский!#REF!</definedName>
    <definedName name="OTHER_COST3" localSheetId="11">[1]Волжский!#REF!</definedName>
    <definedName name="OTHER_COST3">[1]Волжский!#REF!</definedName>
    <definedName name="OTHERCOST1" localSheetId="0">[1]Волжский!#REF!</definedName>
    <definedName name="OTHERCOST1" localSheetId="1">[1]Волжский!#REF!</definedName>
    <definedName name="OTHERCOST1" localSheetId="2">[1]Волжский!#REF!</definedName>
    <definedName name="OTHERCOST1" localSheetId="3">[1]Волжский!#REF!</definedName>
    <definedName name="OTHERCOST1" localSheetId="11">[1]Волжский!#REF!</definedName>
    <definedName name="OTHERCOST1">[1]Волжский!#REF!</definedName>
    <definedName name="PARAM1_1">#REF!</definedName>
    <definedName name="PARAM1_2">#REF!</definedName>
    <definedName name="PARAM2">#REF!</definedName>
    <definedName name="PRINT_SENS">#REF!</definedName>
    <definedName name="PRO" localSheetId="0">[1]Волжский!#REF!</definedName>
    <definedName name="PRO" localSheetId="1">[1]Волжский!#REF!</definedName>
    <definedName name="PRO" localSheetId="2">[1]Волжский!#REF!</definedName>
    <definedName name="PRO" localSheetId="3">[1]Волжский!#REF!</definedName>
    <definedName name="PRO" localSheetId="11">[1]Волжский!#REF!</definedName>
    <definedName name="PRO">[1]Волжский!#REF!</definedName>
    <definedName name="PROD1" localSheetId="0">[1]Волжский!#REF!</definedName>
    <definedName name="PROD1" localSheetId="1">[1]Волжский!#REF!</definedName>
    <definedName name="PROD1" localSheetId="2">[1]Волжский!#REF!</definedName>
    <definedName name="PROD1" localSheetId="3">[1]Волжский!#REF!</definedName>
    <definedName name="PROD1" localSheetId="11">[1]Волжский!#REF!</definedName>
    <definedName name="PROD1">[1]Волжский!#REF!</definedName>
    <definedName name="PROD2" localSheetId="0">[1]Волжский!#REF!</definedName>
    <definedName name="PROD2" localSheetId="1">[1]Волжский!#REF!</definedName>
    <definedName name="PROD2" localSheetId="2">[1]Волжский!#REF!</definedName>
    <definedName name="PROD2" localSheetId="3">[1]Волжский!#REF!</definedName>
    <definedName name="PROD2" localSheetId="11">[1]Волжский!#REF!</definedName>
    <definedName name="PROD2">[1]Волжский!#REF!</definedName>
    <definedName name="RAZMER1">#REF!</definedName>
    <definedName name="RAZMER2">#REF!</definedName>
    <definedName name="RAZMER3">#REF!</definedName>
    <definedName name="SALAR1" localSheetId="0">[1]Волжский!#REF!</definedName>
    <definedName name="SALAR1" localSheetId="1">[1]Волжский!#REF!</definedName>
    <definedName name="SALAR1" localSheetId="2">[1]Волжский!#REF!</definedName>
    <definedName name="SALAR1" localSheetId="3">[1]Волжский!#REF!</definedName>
    <definedName name="SALAR1" localSheetId="11">[1]Волжский!#REF!</definedName>
    <definedName name="SALAR1">[1]Волжский!#REF!</definedName>
    <definedName name="SALAR2" localSheetId="0">[1]Волжский!#REF!</definedName>
    <definedName name="SALAR2" localSheetId="1">[1]Волжский!#REF!</definedName>
    <definedName name="SALAR2" localSheetId="2">[1]Волжский!#REF!</definedName>
    <definedName name="SALAR2" localSheetId="3">[1]Волжский!#REF!</definedName>
    <definedName name="SALAR2" localSheetId="11">[1]Волжский!#REF!</definedName>
    <definedName name="SALAR2">[1]Волжский!#REF!</definedName>
    <definedName name="SALAR3" localSheetId="0">[1]Волжский!#REF!</definedName>
    <definedName name="SALAR3" localSheetId="1">[1]Волжский!#REF!</definedName>
    <definedName name="SALAR3" localSheetId="2">[1]Волжский!#REF!</definedName>
    <definedName name="SALAR3" localSheetId="3">[1]Волжский!#REF!</definedName>
    <definedName name="SALAR3" localSheetId="11">[1]Волжский!#REF!</definedName>
    <definedName name="SALAR3">[1]Волжский!#REF!</definedName>
    <definedName name="SALAR4" localSheetId="0">[1]Волжский!#REF!</definedName>
    <definedName name="SALAR4" localSheetId="1">[1]Волжский!#REF!</definedName>
    <definedName name="SALAR4" localSheetId="2">[1]Волжский!#REF!</definedName>
    <definedName name="SALAR4" localSheetId="3">[1]Волжский!#REF!</definedName>
    <definedName name="SALAR4" localSheetId="11">[1]Волжский!#REF!</definedName>
    <definedName name="SALAR4">[1]Волжский!#REF!</definedName>
    <definedName name="SPAYB" localSheetId="0">[1]Волжский!#REF!</definedName>
    <definedName name="SPAYB" localSheetId="1">[1]Волжский!#REF!</definedName>
    <definedName name="SPAYB" localSheetId="2">[1]Волжский!#REF!</definedName>
    <definedName name="SPAYB" localSheetId="3">[1]Волжский!#REF!</definedName>
    <definedName name="SPAYB" localSheetId="11">[1]Волжский!#REF!</definedName>
    <definedName name="SPAYB">[1]Волжский!#REF!</definedName>
    <definedName name="TAXE1" localSheetId="0">[1]Волжский!#REF!</definedName>
    <definedName name="TAXE1" localSheetId="1">[1]Волжский!#REF!</definedName>
    <definedName name="TAXE1" localSheetId="2">[1]Волжский!#REF!</definedName>
    <definedName name="TAXE1" localSheetId="3">[1]Волжский!#REF!</definedName>
    <definedName name="TAXE1" localSheetId="11">[1]Волжский!#REF!</definedName>
    <definedName name="TAXE1">[1]Волжский!#REF!</definedName>
    <definedName name="TAXE2" localSheetId="0">[1]Волжский!#REF!</definedName>
    <definedName name="TAXE2" localSheetId="1">[1]Волжский!#REF!</definedName>
    <definedName name="TAXE2" localSheetId="2">[1]Волжский!#REF!</definedName>
    <definedName name="TAXE2" localSheetId="3">[1]Волжский!#REF!</definedName>
    <definedName name="TAXE2" localSheetId="11">[1]Волжский!#REF!</definedName>
    <definedName name="TAXE2">[1]Волжский!#REF!</definedName>
    <definedName name="USDRate">[2]Тольятти!$N$2</definedName>
    <definedName name="Z_C6854B7D_8ED6_4A69_846C_2526138BD1D9_.wvu.Cols" localSheetId="13" hidden="1">'Физлица (инд.дом) Прилож №1 '!$E:$E,'Физлица (инд.дом) Прилож №1 '!$I:$K,'Физлица (инд.дом) Прилож №1 '!$M:$N,'Физлица (инд.дом) Прилож №1 '!$Q:$U</definedName>
    <definedName name="Z_C6854B7D_8ED6_4A69_846C_2526138BD1D9_.wvu.Cols" localSheetId="14" hidden="1">'Физлица (мног. дом) Прилож №3'!$E:$E,'Физлица (мног. дом) Прилож №3'!$I:$K,'Физлица (мног. дом) Прилож №3'!$M:$N</definedName>
    <definedName name="Z_C6854B7D_8ED6_4A69_846C_2526138BD1D9_.wvu.FilterData" localSheetId="13" hidden="1">'Физлица (инд.дом) Прилож №1 '!$A$15:$O$44</definedName>
    <definedName name="Z_C6854B7D_8ED6_4A69_846C_2526138BD1D9_.wvu.FilterData" localSheetId="14" hidden="1">'Физлица (мног. дом) Прилож №3'!$A$9:$O$33</definedName>
    <definedName name="Z_C6854B7D_8ED6_4A69_846C_2526138BD1D9_.wvu.PrintArea" localSheetId="13" hidden="1">'Физлица (инд.дом) Прилож №1 '!$A$2:$U$39</definedName>
    <definedName name="Z_C6854B7D_8ED6_4A69_846C_2526138BD1D9_.wvu.PrintArea" localSheetId="14" hidden="1">'Физлица (мног. дом) Прилож №3'!$A$2:$P$28</definedName>
    <definedName name="Z_C6854B7D_8ED6_4A69_846C_2526138BD1D9_.wvu.PrintTitles" localSheetId="13" hidden="1">'Физлица (инд.дом) Прилож №1 '!$12:$16</definedName>
    <definedName name="Z_C6854B7D_8ED6_4A69_846C_2526138BD1D9_.wvu.PrintTitles" localSheetId="14" hidden="1">'Физлица (мног. дом) Прилож №3'!$6:$10</definedName>
    <definedName name="Z_C6854B7D_8ED6_4A69_846C_2526138BD1D9_.wvu.Rows" localSheetId="13" hidden="1">'Физлица (инд.дом) Прилож №1 '!$4:$10</definedName>
    <definedName name="_xlnm.Database">#REF!</definedName>
    <definedName name="ва" localSheetId="0">[1]Волжский!#REF!</definedName>
    <definedName name="ва" localSheetId="1">[1]Волжский!#REF!</definedName>
    <definedName name="ва" localSheetId="2">[1]Волжский!#REF!</definedName>
    <definedName name="ва" localSheetId="3">[1]Волжский!#REF!</definedName>
    <definedName name="ва" localSheetId="11">[1]Волжский!#REF!</definedName>
    <definedName name="ва">[1]Волжский!#REF!</definedName>
    <definedName name="вася" localSheetId="0">#REF!</definedName>
    <definedName name="вася" localSheetId="1">#REF!</definedName>
    <definedName name="вася" localSheetId="2">#REF!</definedName>
    <definedName name="вася" localSheetId="3">#REF!</definedName>
    <definedName name="вася" localSheetId="11">#REF!</definedName>
    <definedName name="вася">#REF!</definedName>
    <definedName name="ВДГО">#REF!</definedName>
    <definedName name="волжский">[3]Новокуйбышевск!$N$2</definedName>
    <definedName name="вып.">[2]Тольятти!$N$2</definedName>
    <definedName name="ГРП">#REF!</definedName>
    <definedName name="Деятельность">[4]Отрадное!$N$2</definedName>
    <definedName name="Жигулевск" localSheetId="0">#REF!,#REF!,#REF!</definedName>
    <definedName name="Жигулевск" localSheetId="1">#REF!,#REF!,#REF!</definedName>
    <definedName name="Жигулевск" localSheetId="2">#REF!,#REF!,#REF!</definedName>
    <definedName name="Жигулевск" localSheetId="3">#REF!,#REF!,#REF!</definedName>
    <definedName name="Жигулевск" localSheetId="11">#REF!,#REF!,#REF!</definedName>
    <definedName name="Жигулевск">#REF!,#REF!,#REF!</definedName>
    <definedName name="_xlnm.Print_Titles" localSheetId="26">'1 этаж (2011 с колонками)'!#REF!</definedName>
    <definedName name="_xlnm.Print_Titles" localSheetId="16">'1 этаж (2011)'!#REF!</definedName>
    <definedName name="_xlnm.Print_Titles" localSheetId="25">'10 этажей  (2011)'!#REF!</definedName>
    <definedName name="_xlnm.Print_Titles" localSheetId="27">'2 этажа (2011 с колонками)'!#REF!</definedName>
    <definedName name="_xlnm.Print_Titles" localSheetId="17">'2 этажа (2011)'!#REF!</definedName>
    <definedName name="_xlnm.Print_Titles" localSheetId="28">'3 этажа (2011 с колонками)'!#REF!</definedName>
    <definedName name="_xlnm.Print_Titles" localSheetId="18">'3 этажа (2011)'!#REF!</definedName>
    <definedName name="_xlnm.Print_Titles" localSheetId="19">'4 этажа (2011)'!#REF!</definedName>
    <definedName name="_xlnm.Print_Titles" localSheetId="29">'4 этажа (2011с колонками)'!#REF!</definedName>
    <definedName name="_xlnm.Print_Titles" localSheetId="30">'5 этажей  (2011 с колонками)'!#REF!</definedName>
    <definedName name="_xlnm.Print_Titles" localSheetId="20">'5 этажей  (2011)'!#REF!</definedName>
    <definedName name="_xlnm.Print_Titles" localSheetId="21">'6 этажей  (2011)'!#REF!</definedName>
    <definedName name="_xlnm.Print_Titles" localSheetId="22">'7 этажей  (2011)'!#REF!</definedName>
    <definedName name="_xlnm.Print_Titles" localSheetId="23">'8 этажей  (2011)'!#REF!</definedName>
    <definedName name="_xlnm.Print_Titles" localSheetId="24">'9 этажей  (2011)'!#REF!</definedName>
    <definedName name="_xlnm.Print_Titles" localSheetId="12">Лист1!$5:$8</definedName>
    <definedName name="_xlnm.Print_Titles" localSheetId="1">'МКД для населения'!$4:$5</definedName>
    <definedName name="_xlnm.Print_Titles" localSheetId="15">'Прейскурант 06 апреля06г.'!$11:$15</definedName>
    <definedName name="_xlnm.Print_Titles" localSheetId="3">'Расчет тариф ставки (2)'!$6:$7</definedName>
    <definedName name="_xlnm.Print_Titles" localSheetId="13">'Физлица (инд.дом) Прилож №1 '!$12:$16</definedName>
    <definedName name="_xlnm.Print_Titles" localSheetId="14">'Физлица (мног. дом) Прилож №3'!$6:$10</definedName>
    <definedName name="индексация">#REF!</definedName>
    <definedName name="Капремонт">#REF!</definedName>
    <definedName name="кин">[3]Новокуйбышевск!$N$2</definedName>
    <definedName name="Кинель">[4]Отрадное!$N$2</definedName>
    <definedName name="Кинель1">[3]Новокуйбышевск!$N$2</definedName>
    <definedName name="КинельЧеркассы">[3]Новокуйбышевск!$N$2</definedName>
    <definedName name="Комбыт">#REF!</definedName>
    <definedName name="комбыт1" localSheetId="0">#REF!</definedName>
    <definedName name="комбыт1" localSheetId="1">#REF!</definedName>
    <definedName name="комбыт1" localSheetId="2">#REF!</definedName>
    <definedName name="комбыт1" localSheetId="3">#REF!</definedName>
    <definedName name="комбыт1" localSheetId="11">#REF!</definedName>
    <definedName name="комбыт1">#REF!</definedName>
    <definedName name="Комплексники">#REF!</definedName>
    <definedName name="Куйбышевск">[4]Отрадное!$N$2</definedName>
    <definedName name="КЧеркассы">[4]Отрадное!$N$2</definedName>
    <definedName name="НК">[3]Новокуйбышевск!$N$2</definedName>
    <definedName name="НКуйбышевск">[3]Новокуйбышевск!$N$2</definedName>
    <definedName name="_xlnm.Print_Area" localSheetId="26">'1 этаж (2011 с колонками)'!$A$1:$I$35</definedName>
    <definedName name="_xlnm.Print_Area" localSheetId="16">'1 этаж (2011)'!$A$1:$I$35</definedName>
    <definedName name="_xlnm.Print_Area" localSheetId="25">'10 этажей  (2011)'!$A$1:$I$36</definedName>
    <definedName name="_xlnm.Print_Area" localSheetId="27">'2 этажа (2011 с колонками)'!$A$1:$I$35</definedName>
    <definedName name="_xlnm.Print_Area" localSheetId="17">'2 этажа (2011)'!$A$1:$I$35</definedName>
    <definedName name="_xlnm.Print_Area" localSheetId="28">'3 этажа (2011 с колонками)'!$A$1:$I$36</definedName>
    <definedName name="_xlnm.Print_Area" localSheetId="18">'3 этажа (2011)'!$A$1:$I$36</definedName>
    <definedName name="_xlnm.Print_Area" localSheetId="19">'4 этажа (2011)'!$A$1:$I$36</definedName>
    <definedName name="_xlnm.Print_Area" localSheetId="29">'4 этажа (2011с колонками)'!$A$1:$I$36</definedName>
    <definedName name="_xlnm.Print_Area" localSheetId="30">'5 этажей  (2011 с колонками)'!$A$1:$I$36</definedName>
    <definedName name="_xlnm.Print_Area" localSheetId="20">'5 этажей  (2011)'!$A$1:$I$36</definedName>
    <definedName name="_xlnm.Print_Area" localSheetId="21">'6 этажей  (2011)'!$A$1:$I$36</definedName>
    <definedName name="_xlnm.Print_Area" localSheetId="22">'7 этажей  (2011)'!$A$1:$I$36</definedName>
    <definedName name="_xlnm.Print_Area" localSheetId="23">'8 этажей  (2011)'!$A$1:$I$36</definedName>
    <definedName name="_xlnm.Print_Area" localSheetId="24">'9 этажей  (2011)'!$A$1:$I$36</definedName>
    <definedName name="_xlnm.Print_Area" localSheetId="0">ИЖД!$A$1:$I$37</definedName>
    <definedName name="_xlnm.Print_Area" localSheetId="1">'МКД для населения'!$A$1:$I$40</definedName>
    <definedName name="_xlnm.Print_Area" localSheetId="2">'МКД с НФУ для населения'!$A$1:$I$27</definedName>
    <definedName name="_xlnm.Print_Area" localSheetId="15">'Прейскурант 06 апреля06г.'!$A$1:$V$104</definedName>
    <definedName name="_xlnm.Print_Area" localSheetId="4">'Прил 3.1'!$A$1:$M$35</definedName>
    <definedName name="_xlnm.Print_Area" localSheetId="31">разница!$A$1:$Z$35</definedName>
    <definedName name="_xlnm.Print_Area" localSheetId="3">'Расчет тариф ставки (2)'!$A$1:$G$19</definedName>
    <definedName name="_xlnm.Print_Area" localSheetId="11">'Физлица (инд. дом) 29 мая  (2)'!$A$8:$AB$35</definedName>
    <definedName name="_xlnm.Print_Area" localSheetId="13">'Физлица (инд.дом) Прилож №1 '!$A$2:$U$39</definedName>
    <definedName name="_xlnm.Print_Area" localSheetId="14">'Физлица (мног. дом) Прилож №3'!$A$2:$P$28</definedName>
    <definedName name="отрада">[3]Новокуйбышевск!$N$2</definedName>
    <definedName name="отрадное">[3]Новокуйбышевск!$N$2</definedName>
    <definedName name="похвистнево">[4]Отрадное!$N$2</definedName>
    <definedName name="ппп">[5]Самара!$N$2</definedName>
    <definedName name="Проц1" localSheetId="0">[1]Волжский!#REF!</definedName>
    <definedName name="Проц1" localSheetId="1">[1]Волжский!#REF!</definedName>
    <definedName name="Проц1" localSheetId="2">[1]Волжский!#REF!</definedName>
    <definedName name="Проц1" localSheetId="3">[1]Волжский!#REF!</definedName>
    <definedName name="Проц1" localSheetId="11">[1]Волжский!#REF!</definedName>
    <definedName name="Проц1">[1]Волжский!#REF!</definedName>
    <definedName name="ПроцИзПр1" localSheetId="0">[1]Волжский!#REF!</definedName>
    <definedName name="ПроцИзПр1" localSheetId="1">[1]Волжский!#REF!</definedName>
    <definedName name="ПроцИзПр1" localSheetId="2">[1]Волжский!#REF!</definedName>
    <definedName name="ПроцИзПр1" localSheetId="3">[1]Волжский!#REF!</definedName>
    <definedName name="ПроцИзПр1" localSheetId="11">[1]Волжский!#REF!</definedName>
    <definedName name="ПроцИзПр1">[1]Волжский!#REF!</definedName>
    <definedName name="РЗО">#REF!</definedName>
    <definedName name="рр">[6]Похвистнево!$N$2</definedName>
    <definedName name="Самара">[4]Отрадное!$N$2</definedName>
    <definedName name="сергиевск">[3]Новокуйбышевск!$N$2</definedName>
    <definedName name="СтНПр1" localSheetId="0">[1]Волжский!#REF!</definedName>
    <definedName name="СтНПр1" localSheetId="1">[1]Волжский!#REF!</definedName>
    <definedName name="СтНПр1" localSheetId="2">[1]Волжский!#REF!</definedName>
    <definedName name="СтНПр1" localSheetId="3">[1]Волжский!#REF!</definedName>
    <definedName name="СтНПр1" localSheetId="11">[1]Волжский!#REF!</definedName>
    <definedName name="СтНПр1">[1]Волжский!#REF!</definedName>
    <definedName name="СУС_служба_уличных_сетей_обходчики">#REF!</definedName>
    <definedName name="чапаевск">[3]Новокуйбышевск!$N$2</definedName>
  </definedNames>
  <calcPr calcId="145621" fullPrecision="0" concurrentCalc="0"/>
</workbook>
</file>

<file path=xl/calcChain.xml><?xml version="1.0" encoding="utf-8"?>
<calcChain xmlns="http://schemas.openxmlformats.org/spreadsheetml/2006/main">
  <c r="H99" i="69" l="1"/>
  <c r="K99" i="69"/>
  <c r="J99" i="69"/>
  <c r="L99" i="69"/>
  <c r="Z396" i="69"/>
  <c r="Z395" i="69"/>
  <c r="Z394" i="69"/>
  <c r="Z393" i="69"/>
  <c r="T393" i="69"/>
  <c r="P392" i="69"/>
  <c r="R392" i="69"/>
  <c r="S392" i="69"/>
  <c r="O392" i="69"/>
  <c r="N392" i="69"/>
  <c r="Q392" i="69"/>
  <c r="P391" i="69"/>
  <c r="R391" i="69"/>
  <c r="S391" i="69"/>
  <c r="N391" i="69"/>
  <c r="O391" i="69"/>
  <c r="Q391" i="69"/>
  <c r="X391" i="69"/>
  <c r="P378" i="69"/>
  <c r="N378" i="69"/>
  <c r="O378" i="69"/>
  <c r="X378" i="69"/>
  <c r="Q378" i="69"/>
  <c r="P377" i="69"/>
  <c r="R377" i="69"/>
  <c r="N377" i="69"/>
  <c r="O377" i="69"/>
  <c r="Q377" i="69"/>
  <c r="AA377" i="69"/>
  <c r="S377" i="69"/>
  <c r="P376" i="69"/>
  <c r="N376" i="69"/>
  <c r="O376" i="69"/>
  <c r="X376" i="69"/>
  <c r="Q376" i="69"/>
  <c r="P374" i="69"/>
  <c r="R374" i="69"/>
  <c r="O374" i="69"/>
  <c r="N374" i="69"/>
  <c r="Q374" i="69"/>
  <c r="P372" i="69"/>
  <c r="R372" i="69"/>
  <c r="S372" i="69"/>
  <c r="O372" i="69"/>
  <c r="N372" i="69"/>
  <c r="Q372" i="69"/>
  <c r="P371" i="69"/>
  <c r="N371" i="69"/>
  <c r="O371" i="69"/>
  <c r="X371" i="69"/>
  <c r="Q371" i="69"/>
  <c r="P369" i="69"/>
  <c r="R369" i="69"/>
  <c r="S369" i="69"/>
  <c r="O369" i="69"/>
  <c r="N369" i="69"/>
  <c r="Q369" i="69"/>
  <c r="P368" i="69"/>
  <c r="N368" i="69"/>
  <c r="O368" i="69"/>
  <c r="X368" i="69"/>
  <c r="Q368" i="69"/>
  <c r="P360" i="69"/>
  <c r="R360" i="69"/>
  <c r="S360" i="69"/>
  <c r="O360" i="69"/>
  <c r="N360" i="69"/>
  <c r="N355" i="69"/>
  <c r="O355" i="69"/>
  <c r="P355" i="69"/>
  <c r="X355" i="69"/>
  <c r="Q355" i="69"/>
  <c r="P354" i="69"/>
  <c r="R354" i="69"/>
  <c r="S354" i="69"/>
  <c r="O354" i="69"/>
  <c r="N354" i="69"/>
  <c r="N353" i="69"/>
  <c r="O353" i="69"/>
  <c r="P353" i="69"/>
  <c r="X353" i="69"/>
  <c r="N350" i="69"/>
  <c r="O350" i="69"/>
  <c r="P350" i="69"/>
  <c r="X350" i="69"/>
  <c r="G349" i="69"/>
  <c r="P346" i="69"/>
  <c r="R346" i="69"/>
  <c r="S346" i="69"/>
  <c r="O346" i="69"/>
  <c r="N346" i="69"/>
  <c r="P340" i="69"/>
  <c r="R340" i="69"/>
  <c r="N340" i="69"/>
  <c r="O340" i="69"/>
  <c r="Q340" i="69"/>
  <c r="X340" i="69"/>
  <c r="Y340" i="69"/>
  <c r="S340" i="69"/>
  <c r="P337" i="69"/>
  <c r="R337" i="69"/>
  <c r="N337" i="69"/>
  <c r="O337" i="69"/>
  <c r="Q337" i="69"/>
  <c r="X337" i="69"/>
  <c r="Y337" i="69"/>
  <c r="S337" i="69"/>
  <c r="G336" i="69"/>
  <c r="F331" i="69"/>
  <c r="M331" i="69"/>
  <c r="P331" i="69"/>
  <c r="Y330" i="69"/>
  <c r="T330" i="69"/>
  <c r="R330" i="69"/>
  <c r="P311" i="69"/>
  <c r="R311" i="69"/>
  <c r="O311" i="69"/>
  <c r="N311" i="69"/>
  <c r="Q311" i="69"/>
  <c r="N309" i="69"/>
  <c r="O309" i="69"/>
  <c r="P309" i="69"/>
  <c r="Q309" i="69"/>
  <c r="X309" i="69"/>
  <c r="P278" i="69"/>
  <c r="R278" i="69"/>
  <c r="O278" i="69"/>
  <c r="N278" i="69"/>
  <c r="Q278" i="69"/>
  <c r="P271" i="69"/>
  <c r="R271" i="69"/>
  <c r="O271" i="69"/>
  <c r="N271" i="69"/>
  <c r="Q271" i="69"/>
  <c r="P268" i="69"/>
  <c r="R268" i="69"/>
  <c r="N268" i="69"/>
  <c r="O268" i="69"/>
  <c r="Q268" i="69"/>
  <c r="AA268" i="69"/>
  <c r="P267" i="69"/>
  <c r="O267" i="69"/>
  <c r="N267" i="69"/>
  <c r="X267" i="69"/>
  <c r="N266" i="69"/>
  <c r="O266" i="69"/>
  <c r="P266" i="69"/>
  <c r="Q266" i="69"/>
  <c r="R266" i="69"/>
  <c r="AA266" i="69"/>
  <c r="X266" i="69"/>
  <c r="G265" i="69"/>
  <c r="P251" i="69"/>
  <c r="R251" i="69"/>
  <c r="S251" i="69"/>
  <c r="O251" i="69"/>
  <c r="N251" i="69"/>
  <c r="N248" i="69"/>
  <c r="O248" i="69"/>
  <c r="P248" i="69"/>
  <c r="Q248" i="69"/>
  <c r="R248" i="69"/>
  <c r="AA248" i="69"/>
  <c r="X248" i="69"/>
  <c r="P244" i="69"/>
  <c r="R244" i="69"/>
  <c r="S244" i="69"/>
  <c r="O244" i="69"/>
  <c r="N244" i="69"/>
  <c r="Q244" i="69"/>
  <c r="P241" i="69"/>
  <c r="R241" i="69"/>
  <c r="S241" i="69"/>
  <c r="O241" i="69"/>
  <c r="N241" i="69"/>
  <c r="Q241" i="69"/>
  <c r="P236" i="69"/>
  <c r="O236" i="69"/>
  <c r="N236" i="69"/>
  <c r="Q236" i="69"/>
  <c r="P175" i="69"/>
  <c r="R175" i="69"/>
  <c r="S175" i="69"/>
  <c r="O175" i="69"/>
  <c r="N175" i="69"/>
  <c r="X175" i="69"/>
  <c r="P174" i="69"/>
  <c r="R174" i="69"/>
  <c r="O174" i="69"/>
  <c r="N174" i="69"/>
  <c r="G173" i="69"/>
  <c r="P155" i="69"/>
  <c r="R155" i="69"/>
  <c r="S155" i="69"/>
  <c r="O155" i="69"/>
  <c r="N155" i="69"/>
  <c r="Q155" i="69"/>
  <c r="P141" i="69"/>
  <c r="R141" i="69"/>
  <c r="O141" i="69"/>
  <c r="N141" i="69"/>
  <c r="Q141" i="69"/>
  <c r="P119" i="69"/>
  <c r="O119" i="69"/>
  <c r="N119" i="69"/>
  <c r="Q119" i="69"/>
  <c r="P118" i="69"/>
  <c r="O118" i="69"/>
  <c r="N118" i="69"/>
  <c r="X118" i="69"/>
  <c r="P116" i="69"/>
  <c r="O116" i="69"/>
  <c r="N116" i="69"/>
  <c r="X116" i="69"/>
  <c r="AA111" i="69"/>
  <c r="Z111" i="69"/>
  <c r="X111" i="69"/>
  <c r="Y111" i="69"/>
  <c r="AA110" i="69"/>
  <c r="Z110" i="69"/>
  <c r="X110" i="69"/>
  <c r="Y110" i="69"/>
  <c r="AA109" i="69"/>
  <c r="Z109" i="69"/>
  <c r="X109" i="69"/>
  <c r="Y109" i="69"/>
  <c r="AA108" i="69"/>
  <c r="Z108" i="69"/>
  <c r="X108" i="69"/>
  <c r="Y108" i="69"/>
  <c r="AA107" i="69"/>
  <c r="Z107" i="69"/>
  <c r="X107" i="69"/>
  <c r="Y107" i="69"/>
  <c r="AA104" i="69"/>
  <c r="Z104" i="69"/>
  <c r="X104" i="69"/>
  <c r="Y104" i="69"/>
  <c r="T102" i="69"/>
  <c r="U102" i="69"/>
  <c r="T101" i="69"/>
  <c r="U101" i="69"/>
  <c r="V100" i="69"/>
  <c r="H98" i="69"/>
  <c r="K98" i="69"/>
  <c r="J98" i="69"/>
  <c r="L98" i="69"/>
  <c r="AA95" i="69"/>
  <c r="Z95" i="69"/>
  <c r="X95" i="69"/>
  <c r="Y95" i="69"/>
  <c r="AA94" i="69"/>
  <c r="Z94" i="69"/>
  <c r="X94" i="69"/>
  <c r="Y94" i="69"/>
  <c r="AA93" i="69"/>
  <c r="Z93" i="69"/>
  <c r="Q92" i="69"/>
  <c r="Z92" i="69"/>
  <c r="X92" i="69"/>
  <c r="Y92" i="69"/>
  <c r="AA92" i="69"/>
  <c r="AA91" i="69"/>
  <c r="Z91" i="69"/>
  <c r="X91" i="69"/>
  <c r="Y91" i="69"/>
  <c r="AA90" i="69"/>
  <c r="Z90" i="69"/>
  <c r="X89" i="69"/>
  <c r="Q89" i="69"/>
  <c r="Y89" i="69"/>
  <c r="AA88" i="69"/>
  <c r="Z88" i="69"/>
  <c r="X87" i="69"/>
  <c r="Q87" i="69"/>
  <c r="AA87" i="69"/>
  <c r="AA86" i="69"/>
  <c r="Z86" i="69"/>
  <c r="X86" i="69"/>
  <c r="Y86" i="69"/>
  <c r="AA85" i="69"/>
  <c r="Z85" i="69"/>
  <c r="Q84" i="69"/>
  <c r="Z84" i="69"/>
  <c r="X84" i="69"/>
  <c r="AA84" i="69"/>
  <c r="AA83" i="69"/>
  <c r="Z83" i="69"/>
  <c r="X83" i="69"/>
  <c r="Y83" i="69"/>
  <c r="AA82" i="69"/>
  <c r="Z82" i="69"/>
  <c r="Q81" i="69"/>
  <c r="Z81" i="69"/>
  <c r="X81" i="69"/>
  <c r="Y81" i="69"/>
  <c r="AA81" i="69"/>
  <c r="AA80" i="69"/>
  <c r="Z80" i="69"/>
  <c r="X79" i="69"/>
  <c r="Q79" i="69"/>
  <c r="Y79" i="69"/>
  <c r="AA78" i="69"/>
  <c r="Z78" i="69"/>
  <c r="X78" i="69"/>
  <c r="Y78" i="69"/>
  <c r="T78" i="69"/>
  <c r="AA77" i="69"/>
  <c r="Z77" i="69"/>
  <c r="T77" i="69"/>
  <c r="U77" i="69"/>
  <c r="V77" i="69"/>
  <c r="O77" i="69"/>
  <c r="X77" i="69"/>
  <c r="Y77" i="69"/>
  <c r="H76" i="69"/>
  <c r="H75" i="69"/>
  <c r="L75" i="69"/>
  <c r="M75" i="69"/>
  <c r="I75" i="69"/>
  <c r="H74" i="69"/>
  <c r="H73" i="69"/>
  <c r="K73" i="69"/>
  <c r="J73" i="69"/>
  <c r="L73" i="69"/>
  <c r="H72" i="69"/>
  <c r="I72" i="69"/>
  <c r="L72" i="69"/>
  <c r="M72" i="69"/>
  <c r="H71" i="69"/>
  <c r="L71" i="69"/>
  <c r="M71" i="69"/>
  <c r="I71" i="69"/>
  <c r="H70" i="69"/>
  <c r="L70" i="69"/>
  <c r="M70" i="69"/>
  <c r="H69" i="69"/>
  <c r="K69" i="69"/>
  <c r="J69" i="69"/>
  <c r="H68" i="69"/>
  <c r="L68" i="69"/>
  <c r="M68" i="69"/>
  <c r="N68" i="69"/>
  <c r="I68" i="69"/>
  <c r="H67" i="69"/>
  <c r="I67" i="69"/>
  <c r="H66" i="69"/>
  <c r="I66" i="69"/>
  <c r="L66" i="69"/>
  <c r="M66" i="69"/>
  <c r="H65" i="69"/>
  <c r="K65" i="69"/>
  <c r="J65" i="69"/>
  <c r="L65" i="69"/>
  <c r="H64" i="69"/>
  <c r="K64" i="69"/>
  <c r="J64" i="69"/>
  <c r="L64" i="69"/>
  <c r="H63" i="69"/>
  <c r="K63" i="69"/>
  <c r="J63" i="69"/>
  <c r="H62" i="69"/>
  <c r="K62" i="69"/>
  <c r="J62" i="69"/>
  <c r="L62" i="69"/>
  <c r="H60" i="69"/>
  <c r="I60" i="69"/>
  <c r="L60" i="69"/>
  <c r="M60" i="69"/>
  <c r="H59" i="69"/>
  <c r="L59" i="69"/>
  <c r="M59" i="69"/>
  <c r="I59" i="69"/>
  <c r="H58" i="69"/>
  <c r="I58" i="69"/>
  <c r="H57" i="69"/>
  <c r="I57" i="69"/>
  <c r="H56" i="69"/>
  <c r="I56" i="69"/>
  <c r="H55" i="69"/>
  <c r="L55" i="69"/>
  <c r="M55" i="69"/>
  <c r="N55" i="69"/>
  <c r="I55" i="69"/>
  <c r="H54" i="69"/>
  <c r="I54" i="69"/>
  <c r="H53" i="69"/>
  <c r="K53" i="69"/>
  <c r="J53" i="69"/>
  <c r="L53" i="69"/>
  <c r="H52" i="69"/>
  <c r="K52" i="69"/>
  <c r="J52" i="69"/>
  <c r="H51" i="69"/>
  <c r="H50" i="69"/>
  <c r="L50" i="69"/>
  <c r="M50" i="69"/>
  <c r="I50" i="69"/>
  <c r="H49" i="69"/>
  <c r="L49" i="69"/>
  <c r="M49" i="69"/>
  <c r="N49" i="69"/>
  <c r="I49" i="69"/>
  <c r="H48" i="69"/>
  <c r="H47" i="69"/>
  <c r="K47" i="69"/>
  <c r="J47" i="69"/>
  <c r="L47" i="69"/>
  <c r="H46" i="69"/>
  <c r="K46" i="69"/>
  <c r="J46" i="69"/>
  <c r="L46" i="69"/>
  <c r="H45" i="69"/>
  <c r="I45" i="69"/>
  <c r="H44" i="69"/>
  <c r="K44" i="69"/>
  <c r="J44" i="69"/>
  <c r="H43" i="69"/>
  <c r="H42" i="69"/>
  <c r="H41" i="69"/>
  <c r="H40" i="69"/>
  <c r="L40" i="69"/>
  <c r="M40" i="69"/>
  <c r="H39" i="69"/>
  <c r="K39" i="69"/>
  <c r="J39" i="69"/>
  <c r="L39" i="69"/>
  <c r="C38" i="69"/>
  <c r="H36" i="69"/>
  <c r="K36" i="69"/>
  <c r="J36" i="69"/>
  <c r="L36" i="69"/>
  <c r="L37" i="69"/>
  <c r="L38" i="69"/>
  <c r="H35" i="69"/>
  <c r="K35" i="69"/>
  <c r="J35" i="69"/>
  <c r="L35" i="69"/>
  <c r="H34" i="69"/>
  <c r="K34" i="69"/>
  <c r="J34" i="69"/>
  <c r="L34" i="69"/>
  <c r="H33" i="69"/>
  <c r="K33" i="69"/>
  <c r="J33" i="69"/>
  <c r="L33" i="69"/>
  <c r="H32" i="69"/>
  <c r="L32" i="69"/>
  <c r="M32" i="69"/>
  <c r="I32" i="69"/>
  <c r="H31" i="69"/>
  <c r="H30" i="69"/>
  <c r="K30" i="69"/>
  <c r="J30" i="69"/>
  <c r="L30" i="69"/>
  <c r="H29" i="69"/>
  <c r="K29" i="69"/>
  <c r="J29" i="69"/>
  <c r="L29" i="69"/>
  <c r="F29" i="69"/>
  <c r="F90" i="69"/>
  <c r="M90" i="69"/>
  <c r="X90" i="69"/>
  <c r="Y90" i="69"/>
  <c r="H28" i="69"/>
  <c r="K28" i="69"/>
  <c r="J28" i="69"/>
  <c r="L28" i="69"/>
  <c r="H27" i="69"/>
  <c r="K27" i="69"/>
  <c r="J27" i="69"/>
  <c r="L27" i="69"/>
  <c r="H26" i="69"/>
  <c r="K26" i="69"/>
  <c r="J26" i="69"/>
  <c r="L26" i="69"/>
  <c r="H25" i="69"/>
  <c r="L25" i="69"/>
  <c r="M25" i="69"/>
  <c r="I25" i="69"/>
  <c r="H24" i="69"/>
  <c r="H23" i="69"/>
  <c r="H22" i="69"/>
  <c r="K22" i="69"/>
  <c r="J22" i="69"/>
  <c r="H21" i="69"/>
  <c r="L21" i="69"/>
  <c r="M21" i="69"/>
  <c r="H20" i="69"/>
  <c r="K20" i="69"/>
  <c r="J20" i="69"/>
  <c r="L20" i="69"/>
  <c r="H18" i="69"/>
  <c r="H17" i="69"/>
  <c r="H16" i="69"/>
  <c r="K16" i="69"/>
  <c r="J16" i="69"/>
  <c r="L16" i="69"/>
  <c r="F16" i="69"/>
  <c r="F20" i="69"/>
  <c r="M20" i="69"/>
  <c r="X14" i="69"/>
  <c r="W26" i="68"/>
  <c r="V26" i="68"/>
  <c r="U26" i="68"/>
  <c r="O26" i="68"/>
  <c r="W25" i="68"/>
  <c r="V25" i="68"/>
  <c r="U25" i="68"/>
  <c r="O25" i="68"/>
  <c r="G21" i="68"/>
  <c r="G20" i="68"/>
  <c r="H20" i="68"/>
  <c r="C20" i="68"/>
  <c r="G19" i="68"/>
  <c r="G18" i="68"/>
  <c r="G17" i="68"/>
  <c r="F11" i="68"/>
  <c r="F17" i="68"/>
  <c r="H17" i="68"/>
  <c r="G16" i="68"/>
  <c r="F14" i="68"/>
  <c r="G14" i="68"/>
  <c r="H14" i="68"/>
  <c r="R13" i="68"/>
  <c r="R16" i="68"/>
  <c r="F16" i="68"/>
  <c r="G13" i="68"/>
  <c r="H13" i="68"/>
  <c r="J13" i="68"/>
  <c r="F12" i="68"/>
  <c r="G12" i="68"/>
  <c r="H12" i="68"/>
  <c r="J12" i="68"/>
  <c r="G11" i="68"/>
  <c r="H11" i="68"/>
  <c r="K11" i="68"/>
  <c r="F21" i="68"/>
  <c r="H21" i="68"/>
  <c r="X37" i="67"/>
  <c r="W37" i="67"/>
  <c r="V37" i="67"/>
  <c r="O37" i="67"/>
  <c r="X36" i="67"/>
  <c r="W36" i="67"/>
  <c r="V36" i="67"/>
  <c r="O36" i="67"/>
  <c r="H33" i="67"/>
  <c r="L33" i="67"/>
  <c r="M33" i="67"/>
  <c r="H32" i="67"/>
  <c r="I32" i="67"/>
  <c r="F17" i="67"/>
  <c r="F27" i="67"/>
  <c r="H27" i="67"/>
  <c r="H26" i="67"/>
  <c r="K26" i="67"/>
  <c r="J26" i="67"/>
  <c r="I26" i="67"/>
  <c r="L26" i="67"/>
  <c r="C26" i="67"/>
  <c r="F23" i="67"/>
  <c r="H23" i="67"/>
  <c r="F21" i="67"/>
  <c r="H21" i="67"/>
  <c r="F20" i="67"/>
  <c r="G20" i="67"/>
  <c r="H20" i="67"/>
  <c r="R19" i="67"/>
  <c r="R22" i="67"/>
  <c r="F22" i="67"/>
  <c r="H19" i="67"/>
  <c r="J19" i="67"/>
  <c r="I19" i="67"/>
  <c r="H17" i="67"/>
  <c r="I17" i="67"/>
  <c r="H41" i="66"/>
  <c r="G41" i="66"/>
  <c r="G40" i="66"/>
  <c r="Z37" i="66"/>
  <c r="Z36" i="66"/>
  <c r="W35" i="66"/>
  <c r="U35" i="66"/>
  <c r="U34" i="66"/>
  <c r="AA33" i="66"/>
  <c r="AB33" i="66"/>
  <c r="U33" i="66"/>
  <c r="AD32" i="66"/>
  <c r="AA32" i="66"/>
  <c r="AB32" i="66"/>
  <c r="W32" i="66"/>
  <c r="U32" i="66"/>
  <c r="U31" i="66"/>
  <c r="M31" i="66"/>
  <c r="K31" i="66"/>
  <c r="J31" i="66"/>
  <c r="I31" i="66"/>
  <c r="U30" i="66"/>
  <c r="M30" i="66"/>
  <c r="K30" i="66"/>
  <c r="J30" i="66"/>
  <c r="I30" i="66"/>
  <c r="AD29" i="66"/>
  <c r="AE29" i="66"/>
  <c r="AF29" i="66"/>
  <c r="AG29" i="66"/>
  <c r="AA29" i="66"/>
  <c r="AB29" i="66"/>
  <c r="W29" i="66"/>
  <c r="U29" i="66"/>
  <c r="AA28" i="66"/>
  <c r="AB28" i="66"/>
  <c r="Y28" i="66"/>
  <c r="W28" i="66"/>
  <c r="U28" i="66"/>
  <c r="AA27" i="66"/>
  <c r="Y27" i="66"/>
  <c r="W27" i="66"/>
  <c r="U27" i="66"/>
  <c r="AA26" i="66"/>
  <c r="Y26" i="66"/>
  <c r="W26" i="66"/>
  <c r="U26" i="66"/>
  <c r="AA25" i="66"/>
  <c r="Y25" i="66"/>
  <c r="W25" i="66"/>
  <c r="U25" i="66"/>
  <c r="Y24" i="66"/>
  <c r="W24" i="66"/>
  <c r="U24" i="66"/>
  <c r="C24" i="66"/>
  <c r="AA23" i="66"/>
  <c r="Y23" i="66"/>
  <c r="W23" i="66"/>
  <c r="U23" i="66"/>
  <c r="AA22" i="66"/>
  <c r="Y22" i="66"/>
  <c r="W22" i="66"/>
  <c r="U22" i="66"/>
  <c r="AA21" i="66"/>
  <c r="Y21" i="66"/>
  <c r="W21" i="66"/>
  <c r="U21" i="66"/>
  <c r="AA20" i="66"/>
  <c r="Y20" i="66"/>
  <c r="W20" i="66"/>
  <c r="U20" i="66"/>
  <c r="F20" i="66"/>
  <c r="F15" i="66"/>
  <c r="AA19" i="66"/>
  <c r="Y19" i="66"/>
  <c r="W19" i="66"/>
  <c r="U19" i="66"/>
  <c r="AA18" i="66"/>
  <c r="Y18" i="66"/>
  <c r="W18" i="66"/>
  <c r="U18" i="66"/>
  <c r="AA17" i="66"/>
  <c r="Y17" i="66"/>
  <c r="W17" i="66"/>
  <c r="U17" i="66"/>
  <c r="AA16" i="66"/>
  <c r="Y16" i="66"/>
  <c r="W16" i="66"/>
  <c r="U16" i="66"/>
  <c r="AA15" i="66"/>
  <c r="Y15" i="66"/>
  <c r="W15" i="66"/>
  <c r="U15" i="66"/>
  <c r="U36" i="66"/>
  <c r="P35" i="66"/>
  <c r="V35" i="66"/>
  <c r="G510" i="65"/>
  <c r="G509" i="65"/>
  <c r="H509" i="65"/>
  <c r="I509" i="65"/>
  <c r="G508" i="65"/>
  <c r="G507" i="65"/>
  <c r="H507" i="65"/>
  <c r="I507" i="65"/>
  <c r="G505" i="65"/>
  <c r="G504" i="65"/>
  <c r="H504" i="65"/>
  <c r="I504" i="65"/>
  <c r="G503" i="65"/>
  <c r="H503" i="65"/>
  <c r="I503" i="65"/>
  <c r="G502" i="65"/>
  <c r="H502" i="65"/>
  <c r="I502" i="65"/>
  <c r="G501" i="65"/>
  <c r="H501" i="65"/>
  <c r="I501" i="65"/>
  <c r="G500" i="65"/>
  <c r="H500" i="65"/>
  <c r="I500" i="65"/>
  <c r="G499" i="65"/>
  <c r="G498" i="65"/>
  <c r="G497" i="65"/>
  <c r="G496" i="65"/>
  <c r="H496" i="65"/>
  <c r="I496" i="65"/>
  <c r="G495" i="65"/>
  <c r="H495" i="65"/>
  <c r="I495" i="65"/>
  <c r="G493" i="65"/>
  <c r="H493" i="65"/>
  <c r="I493" i="65"/>
  <c r="G491" i="65"/>
  <c r="H491" i="65"/>
  <c r="I491" i="65"/>
  <c r="G489" i="65"/>
  <c r="H489" i="65"/>
  <c r="I489" i="65"/>
  <c r="G488" i="65"/>
  <c r="H488" i="65"/>
  <c r="I488" i="65"/>
  <c r="G487" i="65"/>
  <c r="H487" i="65"/>
  <c r="I487" i="65"/>
  <c r="G486" i="65"/>
  <c r="G485" i="65"/>
  <c r="H485" i="65"/>
  <c r="I485" i="65"/>
  <c r="G471" i="65"/>
  <c r="H471" i="65"/>
  <c r="G468" i="65"/>
  <c r="H468" i="65"/>
  <c r="G465" i="65"/>
  <c r="H465" i="65"/>
  <c r="G463" i="65"/>
  <c r="H463" i="65"/>
  <c r="G461" i="65"/>
  <c r="H461" i="65"/>
  <c r="G459" i="65"/>
  <c r="H459" i="65"/>
  <c r="I459" i="65"/>
  <c r="G457" i="65"/>
  <c r="G456" i="65"/>
  <c r="H456" i="65"/>
  <c r="G454" i="65"/>
  <c r="H454" i="65"/>
  <c r="G452" i="65"/>
  <c r="G451" i="65"/>
  <c r="H451" i="65"/>
  <c r="G449" i="65"/>
  <c r="G448" i="65"/>
  <c r="H448" i="65"/>
  <c r="I448" i="65"/>
  <c r="G446" i="65"/>
  <c r="H446" i="65"/>
  <c r="I446" i="65"/>
  <c r="G441" i="65"/>
  <c r="H441" i="65"/>
  <c r="I441" i="65"/>
  <c r="G438" i="65"/>
  <c r="H438" i="65"/>
  <c r="I438" i="65"/>
  <c r="G436" i="65"/>
  <c r="G435" i="65"/>
  <c r="H435" i="65"/>
  <c r="J435" i="65"/>
  <c r="I435" i="65"/>
  <c r="G433" i="65"/>
  <c r="H433" i="65"/>
  <c r="J433" i="65"/>
  <c r="I433" i="65"/>
  <c r="G431" i="65"/>
  <c r="H431" i="65"/>
  <c r="J431" i="65"/>
  <c r="I431" i="65"/>
  <c r="G430" i="65"/>
  <c r="G429" i="65"/>
  <c r="H429" i="65"/>
  <c r="G426" i="65"/>
  <c r="H426" i="65"/>
  <c r="G424" i="65"/>
  <c r="H424" i="65"/>
  <c r="I424" i="65"/>
  <c r="G423" i="65"/>
  <c r="H423" i="65"/>
  <c r="I423" i="65"/>
  <c r="G422" i="65"/>
  <c r="H422" i="65"/>
  <c r="I422" i="65"/>
  <c r="G421" i="65"/>
  <c r="H421" i="65"/>
  <c r="I421" i="65"/>
  <c r="G418" i="65"/>
  <c r="H418" i="65"/>
  <c r="I418" i="65"/>
  <c r="G417" i="65"/>
  <c r="H417" i="65"/>
  <c r="G415" i="65"/>
  <c r="H415" i="65"/>
  <c r="G413" i="65"/>
  <c r="G412" i="65"/>
  <c r="H412" i="65"/>
  <c r="I412" i="65"/>
  <c r="G408" i="65"/>
  <c r="G407" i="65"/>
  <c r="H407" i="65"/>
  <c r="J407" i="65"/>
  <c r="I407" i="65"/>
  <c r="G402" i="65"/>
  <c r="G401" i="65"/>
  <c r="G400" i="65"/>
  <c r="H400" i="65"/>
  <c r="G396" i="65"/>
  <c r="G395" i="65"/>
  <c r="G394" i="65"/>
  <c r="H394" i="65"/>
  <c r="J394" i="65"/>
  <c r="I394" i="65"/>
  <c r="G392" i="65"/>
  <c r="G391" i="65"/>
  <c r="H391" i="65"/>
  <c r="J391" i="65"/>
  <c r="I391" i="65"/>
  <c r="G389" i="65"/>
  <c r="G388" i="65"/>
  <c r="H388" i="65"/>
  <c r="G387" i="65"/>
  <c r="G386" i="65"/>
  <c r="H386" i="65"/>
  <c r="G384" i="65"/>
  <c r="H384" i="65"/>
  <c r="G382" i="65"/>
  <c r="H382" i="65"/>
  <c r="I382" i="65"/>
  <c r="G379" i="65"/>
  <c r="H379" i="65"/>
  <c r="I379" i="65"/>
  <c r="G377" i="65"/>
  <c r="H377" i="65"/>
  <c r="I377" i="65"/>
  <c r="G374" i="65"/>
  <c r="H374" i="65"/>
  <c r="J374" i="65"/>
  <c r="I374" i="65"/>
  <c r="G369" i="65"/>
  <c r="H369" i="65"/>
  <c r="I369" i="65"/>
  <c r="G367" i="65"/>
  <c r="H367" i="65"/>
  <c r="I367" i="65"/>
  <c r="G365" i="65"/>
  <c r="H365" i="65"/>
  <c r="I365" i="65"/>
  <c r="G363" i="65"/>
  <c r="H363" i="65"/>
  <c r="I363" i="65"/>
  <c r="G361" i="65"/>
  <c r="H361" i="65"/>
  <c r="I361" i="65"/>
  <c r="G359" i="65"/>
  <c r="H359" i="65"/>
  <c r="I359" i="65"/>
  <c r="G357" i="65"/>
  <c r="H357" i="65"/>
  <c r="I357" i="65"/>
  <c r="G356" i="65"/>
  <c r="G355" i="65"/>
  <c r="G354" i="65"/>
  <c r="H354" i="65"/>
  <c r="I354" i="65"/>
  <c r="G353" i="65"/>
  <c r="G352" i="65"/>
  <c r="G351" i="65"/>
  <c r="H351" i="65"/>
  <c r="I351" i="65"/>
  <c r="G350" i="65"/>
  <c r="G349" i="65"/>
  <c r="H349" i="65"/>
  <c r="I349" i="65"/>
  <c r="G348" i="65"/>
  <c r="G347" i="65"/>
  <c r="H347" i="65"/>
  <c r="I347" i="65"/>
  <c r="G345" i="65"/>
  <c r="H345" i="65"/>
  <c r="I345" i="65"/>
  <c r="G343" i="65"/>
  <c r="H343" i="65"/>
  <c r="I343" i="65"/>
  <c r="G338" i="65"/>
  <c r="H338" i="65"/>
  <c r="G336" i="65"/>
  <c r="H336" i="65"/>
  <c r="I336" i="65"/>
  <c r="G335" i="65"/>
  <c r="H335" i="65"/>
  <c r="I335" i="65"/>
  <c r="G334" i="65"/>
  <c r="H334" i="65"/>
  <c r="J334" i="65"/>
  <c r="I334" i="65"/>
  <c r="G331" i="65"/>
  <c r="H331" i="65"/>
  <c r="I331" i="65"/>
  <c r="G330" i="65"/>
  <c r="H330" i="65"/>
  <c r="I330" i="65"/>
  <c r="G329" i="65"/>
  <c r="H329" i="65"/>
  <c r="G326" i="65"/>
  <c r="H326" i="65"/>
  <c r="I326" i="65"/>
  <c r="G325" i="65"/>
  <c r="H325" i="65"/>
  <c r="I325" i="65"/>
  <c r="G324" i="65"/>
  <c r="H324" i="65"/>
  <c r="J324" i="65"/>
  <c r="I324" i="65"/>
  <c r="G320" i="65"/>
  <c r="H320" i="65"/>
  <c r="I320" i="65"/>
  <c r="G319" i="65"/>
  <c r="H319" i="65"/>
  <c r="I319" i="65"/>
  <c r="G318" i="65"/>
  <c r="H318" i="65"/>
  <c r="G316" i="65"/>
  <c r="H316" i="65"/>
  <c r="I316" i="65"/>
  <c r="G315" i="65"/>
  <c r="H315" i="65"/>
  <c r="I315" i="65"/>
  <c r="G314" i="65"/>
  <c r="H314" i="65"/>
  <c r="J314" i="65"/>
  <c r="I314" i="65"/>
  <c r="G313" i="65"/>
  <c r="H313" i="65"/>
  <c r="J313" i="65"/>
  <c r="I313" i="65"/>
  <c r="G310" i="65"/>
  <c r="H310" i="65"/>
  <c r="I310" i="65"/>
  <c r="G309" i="65"/>
  <c r="H309" i="65"/>
  <c r="J309" i="65"/>
  <c r="G308" i="65"/>
  <c r="H308" i="65"/>
  <c r="G301" i="65"/>
  <c r="H301" i="65"/>
  <c r="I301" i="65"/>
  <c r="G300" i="65"/>
  <c r="H300" i="65"/>
  <c r="I300" i="65"/>
  <c r="G299" i="65"/>
  <c r="H299" i="65"/>
  <c r="I299" i="65"/>
  <c r="G298" i="65"/>
  <c r="H298" i="65"/>
  <c r="I298" i="65"/>
  <c r="G297" i="65"/>
  <c r="H297" i="65"/>
  <c r="I297" i="65"/>
  <c r="G294" i="65"/>
  <c r="H294" i="65"/>
  <c r="I294" i="65"/>
  <c r="G293" i="65"/>
  <c r="H293" i="65"/>
  <c r="J293" i="65"/>
  <c r="I293" i="65"/>
  <c r="G290" i="65"/>
  <c r="H290" i="65"/>
  <c r="I290" i="65"/>
  <c r="G289" i="65"/>
  <c r="H289" i="65"/>
  <c r="I289" i="65"/>
  <c r="G288" i="65"/>
  <c r="H288" i="65"/>
  <c r="I288" i="65"/>
  <c r="G285" i="65"/>
  <c r="H285" i="65"/>
  <c r="I285" i="65"/>
  <c r="G284" i="65"/>
  <c r="H284" i="65"/>
  <c r="J284" i="65"/>
  <c r="I284" i="65"/>
  <c r="G283" i="65"/>
  <c r="H283" i="65"/>
  <c r="J283" i="65"/>
  <c r="I283" i="65"/>
  <c r="G280" i="65"/>
  <c r="H280" i="65"/>
  <c r="I280" i="65"/>
  <c r="G279" i="65"/>
  <c r="H279" i="65"/>
  <c r="I279" i="65"/>
  <c r="G278" i="65"/>
  <c r="H278" i="65"/>
  <c r="I278" i="65"/>
  <c r="G277" i="65"/>
  <c r="H277" i="65"/>
  <c r="I277" i="65"/>
  <c r="G276" i="65"/>
  <c r="H276" i="65"/>
  <c r="I276" i="65"/>
  <c r="G273" i="65"/>
  <c r="H273" i="65"/>
  <c r="I273" i="65"/>
  <c r="G272" i="65"/>
  <c r="H272" i="65"/>
  <c r="G271" i="65"/>
  <c r="H271" i="65"/>
  <c r="G266" i="65"/>
  <c r="H266" i="65"/>
  <c r="I266" i="65"/>
  <c r="G265" i="65"/>
  <c r="H265" i="65"/>
  <c r="I265" i="65"/>
  <c r="G264" i="65"/>
  <c r="H264" i="65"/>
  <c r="I264" i="65"/>
  <c r="G263" i="65"/>
  <c r="H263" i="65"/>
  <c r="I263" i="65"/>
  <c r="G262" i="65"/>
  <c r="H262" i="65"/>
  <c r="I262" i="65"/>
  <c r="G261" i="65"/>
  <c r="H261" i="65"/>
  <c r="I261" i="65"/>
  <c r="G260" i="65"/>
  <c r="H260" i="65"/>
  <c r="I260" i="65"/>
  <c r="G257" i="65"/>
  <c r="H257" i="65"/>
  <c r="I257" i="65"/>
  <c r="G256" i="65"/>
  <c r="H256" i="65"/>
  <c r="I256" i="65"/>
  <c r="J256" i="65"/>
  <c r="G255" i="65"/>
  <c r="H255" i="65"/>
  <c r="J255" i="65"/>
  <c r="G252" i="65"/>
  <c r="H252" i="65"/>
  <c r="I252" i="65"/>
  <c r="G251" i="65"/>
  <c r="H251" i="65"/>
  <c r="I251" i="65"/>
  <c r="G250" i="65"/>
  <c r="H250" i="65"/>
  <c r="I250" i="65"/>
  <c r="G249" i="65"/>
  <c r="H249" i="65"/>
  <c r="I249" i="65"/>
  <c r="G248" i="65"/>
  <c r="H248" i="65"/>
  <c r="I248" i="65"/>
  <c r="G247" i="65"/>
  <c r="H247" i="65"/>
  <c r="I247" i="65"/>
  <c r="G246" i="65"/>
  <c r="H246" i="65"/>
  <c r="I246" i="65"/>
  <c r="G243" i="65"/>
  <c r="H243" i="65"/>
  <c r="J243" i="65"/>
  <c r="I243" i="65"/>
  <c r="G239" i="65"/>
  <c r="H239" i="65"/>
  <c r="J239" i="65"/>
  <c r="I239" i="65"/>
  <c r="G237" i="65"/>
  <c r="G236" i="65"/>
  <c r="H236" i="65"/>
  <c r="I236" i="65"/>
  <c r="G234" i="65"/>
  <c r="G233" i="65"/>
  <c r="H233" i="65"/>
  <c r="I233" i="65"/>
  <c r="G231" i="65"/>
  <c r="G230" i="65"/>
  <c r="H230" i="65"/>
  <c r="I230" i="65"/>
  <c r="G228" i="65"/>
  <c r="G227" i="65"/>
  <c r="H227" i="65"/>
  <c r="I227" i="65"/>
  <c r="G225" i="65"/>
  <c r="G224" i="65"/>
  <c r="G222" i="65"/>
  <c r="G221" i="65"/>
  <c r="H221" i="65"/>
  <c r="G219" i="65"/>
  <c r="G218" i="65"/>
  <c r="H218" i="65"/>
  <c r="G217" i="65"/>
  <c r="G216" i="65"/>
  <c r="H216" i="65"/>
  <c r="J216" i="65"/>
  <c r="I216" i="65"/>
  <c r="G215" i="65"/>
  <c r="G214" i="65"/>
  <c r="G211" i="65"/>
  <c r="G210" i="65"/>
  <c r="H210" i="65"/>
  <c r="G209" i="65"/>
  <c r="G208" i="65"/>
  <c r="H208" i="65"/>
  <c r="G207" i="65"/>
  <c r="G206" i="65"/>
  <c r="H206" i="65"/>
  <c r="J206" i="65"/>
  <c r="G203" i="65"/>
  <c r="G202" i="65"/>
  <c r="H202" i="65"/>
  <c r="I202" i="65"/>
  <c r="G200" i="65"/>
  <c r="G199" i="65"/>
  <c r="H199" i="65"/>
  <c r="I199" i="65"/>
  <c r="G197" i="65"/>
  <c r="G196" i="65"/>
  <c r="H196" i="65"/>
  <c r="I196" i="65"/>
  <c r="G194" i="65"/>
  <c r="G193" i="65"/>
  <c r="H193" i="65"/>
  <c r="I193" i="65"/>
  <c r="G191" i="65"/>
  <c r="G190" i="65"/>
  <c r="H190" i="65"/>
  <c r="I190" i="65"/>
  <c r="G188" i="65"/>
  <c r="G187" i="65"/>
  <c r="H187" i="65"/>
  <c r="G184" i="65"/>
  <c r="G183" i="65"/>
  <c r="H183" i="65"/>
  <c r="G181" i="65"/>
  <c r="G180" i="65"/>
  <c r="H180" i="65"/>
  <c r="I180" i="65"/>
  <c r="G177" i="65"/>
  <c r="G176" i="65"/>
  <c r="H176" i="65"/>
  <c r="I176" i="65"/>
  <c r="G174" i="65"/>
  <c r="G173" i="65"/>
  <c r="H173" i="65"/>
  <c r="I173" i="65"/>
  <c r="G171" i="65"/>
  <c r="G170" i="65"/>
  <c r="H170" i="65"/>
  <c r="I170" i="65"/>
  <c r="G168" i="65"/>
  <c r="G167" i="65"/>
  <c r="H167" i="65"/>
  <c r="I167" i="65"/>
  <c r="G165" i="65"/>
  <c r="G164" i="65"/>
  <c r="H164" i="65"/>
  <c r="I164" i="65"/>
  <c r="G162" i="65"/>
  <c r="G161" i="65"/>
  <c r="H161" i="65"/>
  <c r="J161" i="65"/>
  <c r="I161" i="65"/>
  <c r="G159" i="65"/>
  <c r="G158" i="65"/>
  <c r="H158" i="65"/>
  <c r="G156" i="65"/>
  <c r="H156" i="65"/>
  <c r="G155" i="65"/>
  <c r="H155" i="65"/>
  <c r="G154" i="65"/>
  <c r="H154" i="65"/>
  <c r="G153" i="65"/>
  <c r="H153" i="65"/>
  <c r="G147" i="65"/>
  <c r="H147" i="65"/>
  <c r="G133" i="65"/>
  <c r="H133" i="65"/>
  <c r="I133" i="65"/>
  <c r="G132" i="65"/>
  <c r="H132" i="65"/>
  <c r="I132" i="65"/>
  <c r="G131" i="65"/>
  <c r="H131" i="65"/>
  <c r="I131" i="65"/>
  <c r="G127" i="65"/>
  <c r="G126" i="65"/>
  <c r="H126" i="65"/>
  <c r="I126" i="65"/>
  <c r="G122" i="65"/>
  <c r="G121" i="65"/>
  <c r="H121" i="65"/>
  <c r="I121" i="65"/>
  <c r="G119" i="65"/>
  <c r="G118" i="65"/>
  <c r="H118" i="65"/>
  <c r="I118" i="65"/>
  <c r="G115" i="65"/>
  <c r="G114" i="65"/>
  <c r="H114" i="65"/>
  <c r="I114" i="65"/>
  <c r="G112" i="65"/>
  <c r="G111" i="65"/>
  <c r="H111" i="65"/>
  <c r="I111" i="65"/>
  <c r="G95" i="65"/>
  <c r="H95" i="65"/>
  <c r="G93" i="65"/>
  <c r="H93" i="65"/>
  <c r="G91" i="65"/>
  <c r="G90" i="65"/>
  <c r="H90" i="65"/>
  <c r="I90" i="65"/>
  <c r="G87" i="65"/>
  <c r="H87" i="65"/>
  <c r="I87" i="65"/>
  <c r="G86" i="65"/>
  <c r="H86" i="65"/>
  <c r="I86" i="65"/>
  <c r="G85" i="65"/>
  <c r="H85" i="65"/>
  <c r="I85" i="65"/>
  <c r="G84" i="65"/>
  <c r="H84" i="65"/>
  <c r="I84" i="65"/>
  <c r="G80" i="65"/>
  <c r="H80" i="65"/>
  <c r="I80" i="65"/>
  <c r="G79" i="65"/>
  <c r="H79" i="65"/>
  <c r="I79" i="65"/>
  <c r="G75" i="65"/>
  <c r="H75" i="65"/>
  <c r="I75" i="65"/>
  <c r="G74" i="65"/>
  <c r="H74" i="65"/>
  <c r="I74" i="65"/>
  <c r="G73" i="65"/>
  <c r="H73" i="65"/>
  <c r="I73" i="65"/>
  <c r="G71" i="65"/>
  <c r="H71" i="65"/>
  <c r="I71" i="65"/>
  <c r="G70" i="65"/>
  <c r="H70" i="65"/>
  <c r="I70" i="65"/>
  <c r="G67" i="65"/>
  <c r="H67" i="65"/>
  <c r="I67" i="65"/>
  <c r="G66" i="65"/>
  <c r="H66" i="65"/>
  <c r="I66" i="65"/>
  <c r="G63" i="65"/>
  <c r="H63" i="65"/>
  <c r="I63" i="65"/>
  <c r="G61" i="65"/>
  <c r="H61" i="65"/>
  <c r="I61" i="65"/>
  <c r="G58" i="65"/>
  <c r="H58" i="65"/>
  <c r="I58" i="65"/>
  <c r="G57" i="65"/>
  <c r="G56" i="65"/>
  <c r="H56" i="65"/>
  <c r="I56" i="65"/>
  <c r="G53" i="65"/>
  <c r="G52" i="65"/>
  <c r="H52" i="65"/>
  <c r="I52" i="65"/>
  <c r="G51" i="65"/>
  <c r="G50" i="65"/>
  <c r="H50" i="65"/>
  <c r="I50" i="65"/>
  <c r="G49" i="65"/>
  <c r="G48" i="65"/>
  <c r="H48" i="65"/>
  <c r="G47" i="65"/>
  <c r="G46" i="65"/>
  <c r="H46" i="65"/>
  <c r="I46" i="65"/>
  <c r="G45" i="65"/>
  <c r="H45" i="65"/>
  <c r="G44" i="65"/>
  <c r="H44" i="65"/>
  <c r="G41" i="65"/>
  <c r="H41" i="65"/>
  <c r="G40" i="65"/>
  <c r="H40" i="65"/>
  <c r="G39" i="65"/>
  <c r="G38" i="65"/>
  <c r="H38" i="65"/>
  <c r="G37" i="65"/>
  <c r="G36" i="65"/>
  <c r="H36" i="65"/>
  <c r="I36" i="65"/>
  <c r="G35" i="65"/>
  <c r="G34" i="65"/>
  <c r="H34" i="65"/>
  <c r="J34" i="65"/>
  <c r="I34" i="65"/>
  <c r="G33" i="65"/>
  <c r="G32" i="65"/>
  <c r="H32" i="65"/>
  <c r="G31" i="65"/>
  <c r="G30" i="65"/>
  <c r="H30" i="65"/>
  <c r="G27" i="65"/>
  <c r="G26" i="65"/>
  <c r="H26" i="65"/>
  <c r="I26" i="65"/>
  <c r="G24" i="65"/>
  <c r="G23" i="65"/>
  <c r="H23" i="65"/>
  <c r="J23" i="65"/>
  <c r="I23" i="65"/>
  <c r="G18" i="65"/>
  <c r="G17" i="65"/>
  <c r="H17" i="65"/>
  <c r="G16" i="65"/>
  <c r="G15" i="65"/>
  <c r="H15" i="65"/>
  <c r="G14" i="65"/>
  <c r="G13" i="65"/>
  <c r="H13" i="65"/>
  <c r="I13" i="65"/>
  <c r="G12" i="65"/>
  <c r="G11" i="65"/>
  <c r="H11" i="65"/>
  <c r="J11" i="65"/>
  <c r="I11" i="65"/>
  <c r="G10" i="65"/>
  <c r="G9" i="65"/>
  <c r="H9" i="65"/>
  <c r="F15" i="61"/>
  <c r="F16" i="61"/>
  <c r="G15" i="61"/>
  <c r="G12" i="61"/>
  <c r="G17" i="61"/>
  <c r="G14" i="61"/>
  <c r="F12" i="61"/>
  <c r="F14" i="61"/>
  <c r="C19" i="57"/>
  <c r="C20" i="57"/>
  <c r="C21" i="57"/>
  <c r="C18" i="57"/>
  <c r="C8" i="57"/>
  <c r="C9" i="57"/>
  <c r="C10" i="57"/>
  <c r="C11" i="57"/>
  <c r="C12" i="57"/>
  <c r="C13" i="57"/>
  <c r="C14" i="57"/>
  <c r="C15" i="57"/>
  <c r="C7" i="57"/>
  <c r="C6" i="57"/>
  <c r="D6" i="57"/>
  <c r="E6" i="57"/>
  <c r="C17" i="57"/>
  <c r="D17" i="57"/>
  <c r="E17" i="57"/>
  <c r="C19" i="54"/>
  <c r="C20" i="54"/>
  <c r="C21" i="54"/>
  <c r="C18" i="54"/>
  <c r="C8" i="54"/>
  <c r="C9" i="54"/>
  <c r="C10" i="54"/>
  <c r="C11" i="54"/>
  <c r="C12" i="54"/>
  <c r="C13" i="54"/>
  <c r="C14" i="54"/>
  <c r="C15" i="54"/>
  <c r="C7" i="54"/>
  <c r="C6" i="54"/>
  <c r="D6" i="54"/>
  <c r="E6" i="54"/>
  <c r="C17" i="54"/>
  <c r="D17" i="54"/>
  <c r="E17" i="54"/>
  <c r="G11" i="34"/>
  <c r="G12" i="34"/>
  <c r="G13" i="34"/>
  <c r="G20" i="34"/>
  <c r="F28" i="34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19" i="18"/>
  <c r="G11" i="46"/>
  <c r="G12" i="46"/>
  <c r="G13" i="46"/>
  <c r="F28" i="46"/>
  <c r="F28" i="45"/>
  <c r="G11" i="44"/>
  <c r="G12" i="44"/>
  <c r="G13" i="44"/>
  <c r="G20" i="44"/>
  <c r="F28" i="44"/>
  <c r="G11" i="43"/>
  <c r="G12" i="43"/>
  <c r="G13" i="43"/>
  <c r="F28" i="43"/>
  <c r="F28" i="42"/>
  <c r="G20" i="41"/>
  <c r="F28" i="41"/>
  <c r="G11" i="40"/>
  <c r="G12" i="40"/>
  <c r="G13" i="40"/>
  <c r="G20" i="40"/>
  <c r="F28" i="40"/>
  <c r="G11" i="39"/>
  <c r="G12" i="39"/>
  <c r="G13" i="39"/>
  <c r="G20" i="39"/>
  <c r="F28" i="39"/>
  <c r="G11" i="38"/>
  <c r="G12" i="38"/>
  <c r="G13" i="38"/>
  <c r="G20" i="38"/>
  <c r="F28" i="38"/>
  <c r="G11" i="37"/>
  <c r="G12" i="37"/>
  <c r="G13" i="37"/>
  <c r="G20" i="37"/>
  <c r="F28" i="37"/>
  <c r="G11" i="36"/>
  <c r="G12" i="36"/>
  <c r="G13" i="36"/>
  <c r="G20" i="36"/>
  <c r="F28" i="36"/>
  <c r="G20" i="35"/>
  <c r="F28" i="35"/>
  <c r="G11" i="33"/>
  <c r="G12" i="33"/>
  <c r="G13" i="33"/>
  <c r="G20" i="33"/>
  <c r="F28" i="33"/>
  <c r="F28" i="32"/>
  <c r="I15" i="32"/>
  <c r="I16" i="32"/>
  <c r="I17" i="32"/>
  <c r="I15" i="33"/>
  <c r="I16" i="33"/>
  <c r="I17" i="33"/>
  <c r="I14" i="34"/>
  <c r="I16" i="34"/>
  <c r="I17" i="34"/>
  <c r="I17" i="35"/>
  <c r="I14" i="36"/>
  <c r="I16" i="36"/>
  <c r="I17" i="36"/>
  <c r="I14" i="37"/>
  <c r="I15" i="37"/>
  <c r="I16" i="37"/>
  <c r="I14" i="38"/>
  <c r="I15" i="38"/>
  <c r="I16" i="38"/>
  <c r="I14" i="39"/>
  <c r="I15" i="39"/>
  <c r="I16" i="39"/>
  <c r="I14" i="40"/>
  <c r="I15" i="40"/>
  <c r="I16" i="40"/>
  <c r="I14" i="41"/>
  <c r="I15" i="41"/>
  <c r="I16" i="41"/>
  <c r="I15" i="42"/>
  <c r="I16" i="42"/>
  <c r="I17" i="42"/>
  <c r="I17" i="43"/>
  <c r="I14" i="44"/>
  <c r="I16" i="44"/>
  <c r="I17" i="44"/>
  <c r="I17" i="45"/>
  <c r="I14" i="46"/>
  <c r="G29" i="18"/>
  <c r="F29" i="18"/>
  <c r="E29" i="18"/>
  <c r="I29" i="18"/>
  <c r="H29" i="18"/>
  <c r="G30" i="18"/>
  <c r="F30" i="18"/>
  <c r="E30" i="18"/>
  <c r="I30" i="18"/>
  <c r="H30" i="18"/>
  <c r="G16" i="10"/>
  <c r="U16" i="10"/>
  <c r="G17" i="10"/>
  <c r="U17" i="10"/>
  <c r="G18" i="10"/>
  <c r="U18" i="10"/>
  <c r="G19" i="10"/>
  <c r="U19" i="10"/>
  <c r="U20" i="10"/>
  <c r="G21" i="10"/>
  <c r="U21" i="10"/>
  <c r="G22" i="10"/>
  <c r="U22" i="10"/>
  <c r="G23" i="10"/>
  <c r="U23" i="10"/>
  <c r="G24" i="10"/>
  <c r="U24" i="10"/>
  <c r="C25" i="10"/>
  <c r="G25" i="10"/>
  <c r="U25" i="10"/>
  <c r="G26" i="10"/>
  <c r="U26" i="10"/>
  <c r="U27" i="10"/>
  <c r="U28" i="10"/>
  <c r="U29" i="10"/>
  <c r="U31" i="10"/>
  <c r="U32" i="10"/>
  <c r="P31" i="10"/>
  <c r="V31" i="10"/>
  <c r="F18" i="10"/>
  <c r="F21" i="10"/>
  <c r="F27" i="10"/>
  <c r="G16" i="61"/>
  <c r="F18" i="61"/>
  <c r="F17" i="61"/>
  <c r="G18" i="61"/>
  <c r="F29" i="10"/>
  <c r="F20" i="45"/>
  <c r="H20" i="45"/>
  <c r="I20" i="45"/>
  <c r="F20" i="46"/>
  <c r="H20" i="46"/>
  <c r="I20" i="46"/>
  <c r="F20" i="32"/>
  <c r="H20" i="32"/>
  <c r="I20" i="32"/>
  <c r="F20" i="40"/>
  <c r="H20" i="40"/>
  <c r="I20" i="40"/>
  <c r="F20" i="41"/>
  <c r="H20" i="41"/>
  <c r="I20" i="41"/>
  <c r="F20" i="38"/>
  <c r="H20" i="38"/>
  <c r="I20" i="38"/>
  <c r="F20" i="39"/>
  <c r="H20" i="39"/>
  <c r="I20" i="39"/>
  <c r="F20" i="37"/>
  <c r="H20" i="37"/>
  <c r="I20" i="37"/>
  <c r="F20" i="36"/>
  <c r="H20" i="36"/>
  <c r="I20" i="36"/>
  <c r="F20" i="44"/>
  <c r="H20" i="44"/>
  <c r="I20" i="44"/>
  <c r="P34" i="66"/>
  <c r="O35" i="66"/>
  <c r="N21" i="69"/>
  <c r="O21" i="69"/>
  <c r="P21" i="69"/>
  <c r="X21" i="69"/>
  <c r="P71" i="69"/>
  <c r="O71" i="69"/>
  <c r="N71" i="69"/>
  <c r="X71" i="69"/>
  <c r="K24" i="69"/>
  <c r="J24" i="69"/>
  <c r="L24" i="69"/>
  <c r="P25" i="69"/>
  <c r="N25" i="69"/>
  <c r="O25" i="69"/>
  <c r="X25" i="69"/>
  <c r="P50" i="69"/>
  <c r="O50" i="69"/>
  <c r="N50" i="69"/>
  <c r="X50" i="69"/>
  <c r="N70" i="69"/>
  <c r="O70" i="69"/>
  <c r="P70" i="69"/>
  <c r="Q70" i="69"/>
  <c r="P72" i="69"/>
  <c r="N72" i="69"/>
  <c r="O72" i="69"/>
  <c r="X72" i="69"/>
  <c r="Q72" i="69"/>
  <c r="F387" i="69"/>
  <c r="M387" i="69"/>
  <c r="F383" i="69"/>
  <c r="M383" i="69"/>
  <c r="F379" i="69"/>
  <c r="M379" i="69"/>
  <c r="F366" i="69"/>
  <c r="M366" i="69"/>
  <c r="F390" i="69"/>
  <c r="M390" i="69"/>
  <c r="F386" i="69"/>
  <c r="M386" i="69"/>
  <c r="F382" i="69"/>
  <c r="M382" i="69"/>
  <c r="F365" i="69"/>
  <c r="M365" i="69"/>
  <c r="F393" i="69"/>
  <c r="M393" i="69"/>
  <c r="F389" i="69"/>
  <c r="M389" i="69"/>
  <c r="F385" i="69"/>
  <c r="M385" i="69"/>
  <c r="F381" i="69"/>
  <c r="M381" i="69"/>
  <c r="F373" i="69"/>
  <c r="M373" i="69"/>
  <c r="F370" i="69"/>
  <c r="M370" i="69"/>
  <c r="F364" i="69"/>
  <c r="M364" i="69"/>
  <c r="F388" i="69"/>
  <c r="M388" i="69"/>
  <c r="F384" i="69"/>
  <c r="M384" i="69"/>
  <c r="F380" i="69"/>
  <c r="M380" i="69"/>
  <c r="F375" i="69"/>
  <c r="M375" i="69"/>
  <c r="F367" i="69"/>
  <c r="M367" i="69"/>
  <c r="F363" i="69"/>
  <c r="M363" i="69"/>
  <c r="F362" i="69"/>
  <c r="M362" i="69"/>
  <c r="F359" i="69"/>
  <c r="M359" i="69"/>
  <c r="F361" i="69"/>
  <c r="M361" i="69"/>
  <c r="F358" i="69"/>
  <c r="M358" i="69"/>
  <c r="F356" i="69"/>
  <c r="M356" i="69"/>
  <c r="F357" i="69"/>
  <c r="M357" i="69"/>
  <c r="F351" i="69"/>
  <c r="M351" i="69"/>
  <c r="F352" i="69"/>
  <c r="M352" i="69"/>
  <c r="F272" i="69"/>
  <c r="M272" i="69"/>
  <c r="F171" i="69"/>
  <c r="M171" i="69"/>
  <c r="F167" i="69"/>
  <c r="M167" i="69"/>
  <c r="F163" i="69"/>
  <c r="M163" i="69"/>
  <c r="F159" i="69"/>
  <c r="M159" i="69"/>
  <c r="F152" i="69"/>
  <c r="M152" i="69"/>
  <c r="F148" i="69"/>
  <c r="M148" i="69"/>
  <c r="F144" i="69"/>
  <c r="M144" i="69"/>
  <c r="F170" i="69"/>
  <c r="M170" i="69"/>
  <c r="F166" i="69"/>
  <c r="M166" i="69"/>
  <c r="F162" i="69"/>
  <c r="M162" i="69"/>
  <c r="F158" i="69"/>
  <c r="M158" i="69"/>
  <c r="F151" i="69"/>
  <c r="M151" i="69"/>
  <c r="F147" i="69"/>
  <c r="M147" i="69"/>
  <c r="F169" i="69"/>
  <c r="M169" i="69"/>
  <c r="F165" i="69"/>
  <c r="M165" i="69"/>
  <c r="F161" i="69"/>
  <c r="M161" i="69"/>
  <c r="F157" i="69"/>
  <c r="M157" i="69"/>
  <c r="F154" i="69"/>
  <c r="M154" i="69"/>
  <c r="F150" i="69"/>
  <c r="M150" i="69"/>
  <c r="F146" i="69"/>
  <c r="M146" i="69"/>
  <c r="F172" i="69"/>
  <c r="F168" i="69"/>
  <c r="M168" i="69"/>
  <c r="F164" i="69"/>
  <c r="M164" i="69"/>
  <c r="F160" i="69"/>
  <c r="M160" i="69"/>
  <c r="F156" i="69"/>
  <c r="M156" i="69"/>
  <c r="F153" i="69"/>
  <c r="M153" i="69"/>
  <c r="F149" i="69"/>
  <c r="M149" i="69"/>
  <c r="F145" i="69"/>
  <c r="M145" i="69"/>
  <c r="F137" i="69"/>
  <c r="M137" i="69"/>
  <c r="F133" i="69"/>
  <c r="M133" i="69"/>
  <c r="F129" i="69"/>
  <c r="M129" i="69"/>
  <c r="F125" i="69"/>
  <c r="M125" i="69"/>
  <c r="F121" i="69"/>
  <c r="M121" i="69"/>
  <c r="F98" i="69"/>
  <c r="M98" i="69"/>
  <c r="F88" i="69"/>
  <c r="M88" i="69"/>
  <c r="X88" i="69"/>
  <c r="Y88" i="69"/>
  <c r="F28" i="69"/>
  <c r="M28" i="69"/>
  <c r="F27" i="69"/>
  <c r="M27" i="69"/>
  <c r="F26" i="69"/>
  <c r="M26" i="69"/>
  <c r="F143" i="69"/>
  <c r="M143" i="69"/>
  <c r="F140" i="69"/>
  <c r="M140" i="69"/>
  <c r="F136" i="69"/>
  <c r="M136" i="69"/>
  <c r="F132" i="69"/>
  <c r="M132" i="69"/>
  <c r="F128" i="69"/>
  <c r="M128" i="69"/>
  <c r="F124" i="69"/>
  <c r="M124" i="69"/>
  <c r="F120" i="69"/>
  <c r="M120" i="69"/>
  <c r="F80" i="69"/>
  <c r="M80" i="69"/>
  <c r="X80" i="69"/>
  <c r="Y80" i="69"/>
  <c r="F73" i="69"/>
  <c r="M73" i="69"/>
  <c r="F47" i="69"/>
  <c r="M47" i="69"/>
  <c r="F30" i="69"/>
  <c r="M30" i="69"/>
  <c r="N30" i="69"/>
  <c r="F142" i="69"/>
  <c r="M142" i="69"/>
  <c r="F139" i="69"/>
  <c r="M139" i="69"/>
  <c r="F135" i="69"/>
  <c r="M135" i="69"/>
  <c r="F131" i="69"/>
  <c r="M131" i="69"/>
  <c r="F127" i="69"/>
  <c r="M127" i="69"/>
  <c r="F123" i="69"/>
  <c r="M123" i="69"/>
  <c r="F99" i="69"/>
  <c r="F76" i="69"/>
  <c r="F43" i="69"/>
  <c r="F24" i="69"/>
  <c r="F23" i="69"/>
  <c r="F22" i="69"/>
  <c r="F138" i="69"/>
  <c r="M138" i="69"/>
  <c r="F134" i="69"/>
  <c r="M134" i="69"/>
  <c r="F130" i="69"/>
  <c r="M130" i="69"/>
  <c r="F126" i="69"/>
  <c r="M126" i="69"/>
  <c r="N126" i="69"/>
  <c r="F122" i="69"/>
  <c r="M122" i="69"/>
  <c r="F85" i="69"/>
  <c r="M85" i="69"/>
  <c r="X85" i="69"/>
  <c r="Y85" i="69"/>
  <c r="F69" i="69"/>
  <c r="F58" i="69"/>
  <c r="F57" i="69"/>
  <c r="F56" i="69"/>
  <c r="K17" i="69"/>
  <c r="J17" i="69"/>
  <c r="L17" i="69"/>
  <c r="K18" i="69"/>
  <c r="J18" i="69"/>
  <c r="L18" i="69"/>
  <c r="L19" i="69"/>
  <c r="Q25" i="69"/>
  <c r="P32" i="69"/>
  <c r="O32" i="69"/>
  <c r="N32" i="69"/>
  <c r="Q32" i="69"/>
  <c r="N40" i="69"/>
  <c r="O40" i="69"/>
  <c r="P40" i="69"/>
  <c r="Q40" i="69"/>
  <c r="X40" i="69"/>
  <c r="P59" i="69"/>
  <c r="O59" i="69"/>
  <c r="N59" i="69"/>
  <c r="X59" i="69"/>
  <c r="P66" i="69"/>
  <c r="O66" i="69"/>
  <c r="N66" i="69"/>
  <c r="Q66" i="69"/>
  <c r="X66" i="69"/>
  <c r="M16" i="69"/>
  <c r="F17" i="69"/>
  <c r="F18" i="69"/>
  <c r="L22" i="69"/>
  <c r="K23" i="69"/>
  <c r="J23" i="69"/>
  <c r="L23" i="69"/>
  <c r="P60" i="69"/>
  <c r="O60" i="69"/>
  <c r="N60" i="69"/>
  <c r="Q60" i="69"/>
  <c r="P75" i="69"/>
  <c r="N75" i="69"/>
  <c r="O75" i="69"/>
  <c r="X75" i="69"/>
  <c r="Q75" i="69"/>
  <c r="AA141" i="69"/>
  <c r="M29" i="69"/>
  <c r="K31" i="69"/>
  <c r="J31" i="69"/>
  <c r="L31" i="69"/>
  <c r="I40" i="69"/>
  <c r="K41" i="69"/>
  <c r="J41" i="69"/>
  <c r="L41" i="69"/>
  <c r="K42" i="69"/>
  <c r="J42" i="69"/>
  <c r="L42" i="69"/>
  <c r="K43" i="69"/>
  <c r="J43" i="69"/>
  <c r="L43" i="69"/>
  <c r="F44" i="69"/>
  <c r="L44" i="69"/>
  <c r="M44" i="69"/>
  <c r="L45" i="69"/>
  <c r="M45" i="69"/>
  <c r="K48" i="69"/>
  <c r="J48" i="69"/>
  <c r="L48" i="69"/>
  <c r="O49" i="69"/>
  <c r="K51" i="69"/>
  <c r="J51" i="69"/>
  <c r="L51" i="69"/>
  <c r="F52" i="69"/>
  <c r="L52" i="69"/>
  <c r="M52" i="69"/>
  <c r="L54" i="69"/>
  <c r="M54" i="69"/>
  <c r="O55" i="69"/>
  <c r="P55" i="69"/>
  <c r="X55" i="69"/>
  <c r="K56" i="69"/>
  <c r="J56" i="69"/>
  <c r="L56" i="69"/>
  <c r="K57" i="69"/>
  <c r="J57" i="69"/>
  <c r="L57" i="69"/>
  <c r="K58" i="69"/>
  <c r="J58" i="69"/>
  <c r="L58" i="69"/>
  <c r="F63" i="69"/>
  <c r="L63" i="69"/>
  <c r="M63" i="69"/>
  <c r="L67" i="69"/>
  <c r="M67" i="69"/>
  <c r="O68" i="69"/>
  <c r="P68" i="69"/>
  <c r="X68" i="69"/>
  <c r="L69" i="69"/>
  <c r="I70" i="69"/>
  <c r="K74" i="69"/>
  <c r="J74" i="69"/>
  <c r="L74" i="69"/>
  <c r="K76" i="69"/>
  <c r="J76" i="69"/>
  <c r="L76" i="69"/>
  <c r="Z79" i="69"/>
  <c r="Y87" i="69"/>
  <c r="Z89" i="69"/>
  <c r="Q116" i="69"/>
  <c r="Q118" i="69"/>
  <c r="R119" i="69"/>
  <c r="AA119" i="69"/>
  <c r="S141" i="69"/>
  <c r="Z141" i="69"/>
  <c r="Z155" i="69"/>
  <c r="F31" i="69"/>
  <c r="F41" i="69"/>
  <c r="F42" i="69"/>
  <c r="M42" i="69"/>
  <c r="F48" i="69"/>
  <c r="P49" i="69"/>
  <c r="X49" i="69"/>
  <c r="F51" i="69"/>
  <c r="Q55" i="69"/>
  <c r="F74" i="69"/>
  <c r="AA79" i="69"/>
  <c r="F82" i="69"/>
  <c r="M82" i="69"/>
  <c r="X82" i="69"/>
  <c r="Y82" i="69"/>
  <c r="Y84" i="69"/>
  <c r="Z87" i="69"/>
  <c r="AA89" i="69"/>
  <c r="F93" i="69"/>
  <c r="R116" i="69"/>
  <c r="S116" i="69"/>
  <c r="R118" i="69"/>
  <c r="S118" i="69"/>
  <c r="X141" i="69"/>
  <c r="Y141" i="69"/>
  <c r="F33" i="69"/>
  <c r="M33" i="69"/>
  <c r="F34" i="69"/>
  <c r="M34" i="69"/>
  <c r="F35" i="69"/>
  <c r="M35" i="69"/>
  <c r="F36" i="69"/>
  <c r="M36" i="69"/>
  <c r="F37" i="69"/>
  <c r="M37" i="69"/>
  <c r="N37" i="69"/>
  <c r="Q49" i="69"/>
  <c r="F62" i="69"/>
  <c r="M62" i="69"/>
  <c r="F65" i="69"/>
  <c r="M65" i="69"/>
  <c r="O65" i="69"/>
  <c r="Q68" i="69"/>
  <c r="X119" i="69"/>
  <c r="Y119" i="69"/>
  <c r="F348" i="69"/>
  <c r="F345" i="69"/>
  <c r="M345" i="69"/>
  <c r="N345" i="69"/>
  <c r="F341" i="69"/>
  <c r="M341" i="69"/>
  <c r="F338" i="69"/>
  <c r="M338" i="69"/>
  <c r="F347" i="69"/>
  <c r="M347" i="69"/>
  <c r="F344" i="69"/>
  <c r="M344" i="69"/>
  <c r="N344" i="69"/>
  <c r="F335" i="69"/>
  <c r="F342" i="69"/>
  <c r="M342" i="69"/>
  <c r="F339" i="69"/>
  <c r="M339" i="69"/>
  <c r="F332" i="69"/>
  <c r="M332" i="69"/>
  <c r="F330" i="69"/>
  <c r="M330" i="69"/>
  <c r="F343" i="69"/>
  <c r="M343" i="69"/>
  <c r="F329" i="69"/>
  <c r="M329" i="69"/>
  <c r="F325" i="69"/>
  <c r="M325" i="69"/>
  <c r="F321" i="69"/>
  <c r="M321" i="69"/>
  <c r="N321" i="69"/>
  <c r="F328" i="69"/>
  <c r="M328" i="69"/>
  <c r="F326" i="69"/>
  <c r="M326" i="69"/>
  <c r="F318" i="69"/>
  <c r="M318" i="69"/>
  <c r="F314" i="69"/>
  <c r="M314" i="69"/>
  <c r="F308" i="69"/>
  <c r="M308" i="69"/>
  <c r="F323" i="69"/>
  <c r="M323" i="69"/>
  <c r="F317" i="69"/>
  <c r="M317" i="69"/>
  <c r="F313" i="69"/>
  <c r="M313" i="69"/>
  <c r="O313" i="69"/>
  <c r="F310" i="69"/>
  <c r="M310" i="69"/>
  <c r="F307" i="69"/>
  <c r="M307" i="69"/>
  <c r="F333" i="69"/>
  <c r="M333" i="69"/>
  <c r="F327" i="69"/>
  <c r="M327" i="69"/>
  <c r="F320" i="69"/>
  <c r="M320" i="69"/>
  <c r="F316" i="69"/>
  <c r="M316" i="69"/>
  <c r="F312" i="69"/>
  <c r="M312" i="69"/>
  <c r="F306" i="69"/>
  <c r="M306" i="69"/>
  <c r="N306" i="69"/>
  <c r="F334" i="69"/>
  <c r="M334" i="69"/>
  <c r="F324" i="69"/>
  <c r="M324" i="69"/>
  <c r="F322" i="69"/>
  <c r="M322" i="69"/>
  <c r="F319" i="69"/>
  <c r="M319" i="69"/>
  <c r="F315" i="69"/>
  <c r="M315" i="69"/>
  <c r="F305" i="69"/>
  <c r="M305" i="69"/>
  <c r="F301" i="69"/>
  <c r="M301" i="69"/>
  <c r="O301" i="69"/>
  <c r="F297" i="69"/>
  <c r="M297" i="69"/>
  <c r="F293" i="69"/>
  <c r="M293" i="69"/>
  <c r="F289" i="69"/>
  <c r="M289" i="69"/>
  <c r="F285" i="69"/>
  <c r="M285" i="69"/>
  <c r="F281" i="69"/>
  <c r="M281" i="69"/>
  <c r="F274" i="69"/>
  <c r="M274" i="69"/>
  <c r="F263" i="69"/>
  <c r="M263" i="69"/>
  <c r="F259" i="69"/>
  <c r="M259" i="69"/>
  <c r="O259" i="69"/>
  <c r="F255" i="69"/>
  <c r="M255" i="69"/>
  <c r="F304" i="69"/>
  <c r="M304" i="69"/>
  <c r="F300" i="69"/>
  <c r="M300" i="69"/>
  <c r="F296" i="69"/>
  <c r="M296" i="69"/>
  <c r="F292" i="69"/>
  <c r="M292" i="69"/>
  <c r="F288" i="69"/>
  <c r="M288" i="69"/>
  <c r="F284" i="69"/>
  <c r="M284" i="69"/>
  <c r="F280" i="69"/>
  <c r="M280" i="69"/>
  <c r="O280" i="69"/>
  <c r="F277" i="69"/>
  <c r="M277" i="69"/>
  <c r="F273" i="69"/>
  <c r="M273" i="69"/>
  <c r="F270" i="69"/>
  <c r="M270" i="69"/>
  <c r="F262" i="69"/>
  <c r="M262" i="69"/>
  <c r="F303" i="69"/>
  <c r="M303" i="69"/>
  <c r="F299" i="69"/>
  <c r="M299" i="69"/>
  <c r="F295" i="69"/>
  <c r="M295" i="69"/>
  <c r="F291" i="69"/>
  <c r="M291" i="69"/>
  <c r="F287" i="69"/>
  <c r="M287" i="69"/>
  <c r="N287" i="69"/>
  <c r="F283" i="69"/>
  <c r="M283" i="69"/>
  <c r="F279" i="69"/>
  <c r="M279" i="69"/>
  <c r="F276" i="69"/>
  <c r="M276" i="69"/>
  <c r="F269" i="69"/>
  <c r="M269" i="69"/>
  <c r="F261" i="69"/>
  <c r="M261" i="69"/>
  <c r="F257" i="69"/>
  <c r="M257" i="69"/>
  <c r="F253" i="69"/>
  <c r="M253" i="69"/>
  <c r="P253" i="69"/>
  <c r="F250" i="69"/>
  <c r="M250" i="69"/>
  <c r="O250" i="69"/>
  <c r="F302" i="69"/>
  <c r="M302" i="69"/>
  <c r="F298" i="69"/>
  <c r="M298" i="69"/>
  <c r="F294" i="69"/>
  <c r="M294" i="69"/>
  <c r="F290" i="69"/>
  <c r="M290" i="69"/>
  <c r="F286" i="69"/>
  <c r="M286" i="69"/>
  <c r="F282" i="69"/>
  <c r="M282" i="69"/>
  <c r="F275" i="69"/>
  <c r="M275" i="69"/>
  <c r="F264" i="69"/>
  <c r="F260" i="69"/>
  <c r="M260" i="69"/>
  <c r="F256" i="69"/>
  <c r="M256" i="69"/>
  <c r="F252" i="69"/>
  <c r="M252" i="69"/>
  <c r="F254" i="69"/>
  <c r="M254" i="69"/>
  <c r="F238" i="69"/>
  <c r="M238" i="69"/>
  <c r="F235" i="69"/>
  <c r="M235" i="69"/>
  <c r="F231" i="69"/>
  <c r="M231" i="69"/>
  <c r="O231" i="69"/>
  <c r="F227" i="69"/>
  <c r="M227" i="69"/>
  <c r="F223" i="69"/>
  <c r="M223" i="69"/>
  <c r="F219" i="69"/>
  <c r="M219" i="69"/>
  <c r="F215" i="69"/>
  <c r="M215" i="69"/>
  <c r="F211" i="69"/>
  <c r="M211" i="69"/>
  <c r="F207" i="69"/>
  <c r="M207" i="69"/>
  <c r="F203" i="69"/>
  <c r="M203" i="69"/>
  <c r="F199" i="69"/>
  <c r="M199" i="69"/>
  <c r="F247" i="69"/>
  <c r="M247" i="69"/>
  <c r="P247" i="69"/>
  <c r="F237" i="69"/>
  <c r="M237" i="69"/>
  <c r="F234" i="69"/>
  <c r="M234" i="69"/>
  <c r="F230" i="69"/>
  <c r="M230" i="69"/>
  <c r="F226" i="69"/>
  <c r="M226" i="69"/>
  <c r="F222" i="69"/>
  <c r="M222" i="69"/>
  <c r="F218" i="69"/>
  <c r="M218" i="69"/>
  <c r="F214" i="69"/>
  <c r="M214" i="69"/>
  <c r="F210" i="69"/>
  <c r="M210" i="69"/>
  <c r="F206" i="69"/>
  <c r="M206" i="69"/>
  <c r="F202" i="69"/>
  <c r="M202" i="69"/>
  <c r="F198" i="69"/>
  <c r="M198" i="69"/>
  <c r="F249" i="69"/>
  <c r="M249" i="69"/>
  <c r="F246" i="69"/>
  <c r="M246" i="69"/>
  <c r="F243" i="69"/>
  <c r="M243" i="69"/>
  <c r="F240" i="69"/>
  <c r="M240" i="69"/>
  <c r="F233" i="69"/>
  <c r="M233" i="69"/>
  <c r="F229" i="69"/>
  <c r="M229" i="69"/>
  <c r="F225" i="69"/>
  <c r="M225" i="69"/>
  <c r="F221" i="69"/>
  <c r="M221" i="69"/>
  <c r="O221" i="69"/>
  <c r="F217" i="69"/>
  <c r="M217" i="69"/>
  <c r="F213" i="69"/>
  <c r="M213" i="69"/>
  <c r="F209" i="69"/>
  <c r="M209" i="69"/>
  <c r="F205" i="69"/>
  <c r="M205" i="69"/>
  <c r="N205" i="69"/>
  <c r="F201" i="69"/>
  <c r="M201" i="69"/>
  <c r="F258" i="69"/>
  <c r="M258" i="69"/>
  <c r="F245" i="69"/>
  <c r="M245" i="69"/>
  <c r="F242" i="69"/>
  <c r="M242" i="69"/>
  <c r="F239" i="69"/>
  <c r="M239" i="69"/>
  <c r="F232" i="69"/>
  <c r="M232" i="69"/>
  <c r="F228" i="69"/>
  <c r="M228" i="69"/>
  <c r="F224" i="69"/>
  <c r="M224" i="69"/>
  <c r="F220" i="69"/>
  <c r="M220" i="69"/>
  <c r="F216" i="69"/>
  <c r="M216" i="69"/>
  <c r="F212" i="69"/>
  <c r="M212" i="69"/>
  <c r="F208" i="69"/>
  <c r="M208" i="69"/>
  <c r="N208" i="69"/>
  <c r="F204" i="69"/>
  <c r="M204" i="69"/>
  <c r="F200" i="69"/>
  <c r="M200" i="69"/>
  <c r="F196" i="69"/>
  <c r="M196" i="69"/>
  <c r="P196" i="69"/>
  <c r="F192" i="69"/>
  <c r="M192" i="69"/>
  <c r="N192" i="69"/>
  <c r="F188" i="69"/>
  <c r="M188" i="69"/>
  <c r="F184" i="69"/>
  <c r="M184" i="69"/>
  <c r="F180" i="69"/>
  <c r="M180" i="69"/>
  <c r="F176" i="69"/>
  <c r="M176" i="69"/>
  <c r="N176" i="69"/>
  <c r="F195" i="69"/>
  <c r="M195" i="69"/>
  <c r="F191" i="69"/>
  <c r="M191" i="69"/>
  <c r="F187" i="69"/>
  <c r="M187" i="69"/>
  <c r="F183" i="69"/>
  <c r="M183" i="69"/>
  <c r="N183" i="69"/>
  <c r="F179" i="69"/>
  <c r="M179" i="69"/>
  <c r="F194" i="69"/>
  <c r="M194" i="69"/>
  <c r="F190" i="69"/>
  <c r="M190" i="69"/>
  <c r="F186" i="69"/>
  <c r="M186" i="69"/>
  <c r="P186" i="69"/>
  <c r="F182" i="69"/>
  <c r="M182" i="69"/>
  <c r="F178" i="69"/>
  <c r="M178" i="69"/>
  <c r="F197" i="69"/>
  <c r="M197" i="69"/>
  <c r="F193" i="69"/>
  <c r="M193" i="69"/>
  <c r="P193" i="69"/>
  <c r="F189" i="69"/>
  <c r="M189" i="69"/>
  <c r="F185" i="69"/>
  <c r="M185" i="69"/>
  <c r="F181" i="69"/>
  <c r="M181" i="69"/>
  <c r="N181" i="69"/>
  <c r="F177" i="69"/>
  <c r="M177" i="69"/>
  <c r="P177" i="69"/>
  <c r="F38" i="69"/>
  <c r="M38" i="69"/>
  <c r="F39" i="69"/>
  <c r="M39" i="69"/>
  <c r="F46" i="69"/>
  <c r="M46" i="69"/>
  <c r="F53" i="69"/>
  <c r="M53" i="69"/>
  <c r="F64" i="69"/>
  <c r="M64" i="69"/>
  <c r="AA155" i="69"/>
  <c r="Q175" i="69"/>
  <c r="AA175" i="69"/>
  <c r="X155" i="69"/>
  <c r="Y155" i="69"/>
  <c r="S174" i="69"/>
  <c r="X236" i="69"/>
  <c r="Y236" i="69"/>
  <c r="X174" i="69"/>
  <c r="Q174" i="69"/>
  <c r="AA241" i="69"/>
  <c r="AA244" i="69"/>
  <c r="Z241" i="69"/>
  <c r="Z244" i="69"/>
  <c r="R236" i="69"/>
  <c r="AA236" i="69"/>
  <c r="X241" i="69"/>
  <c r="Y241" i="69"/>
  <c r="X244" i="69"/>
  <c r="Y244" i="69"/>
  <c r="S248" i="69"/>
  <c r="Z248" i="69"/>
  <c r="Q251" i="69"/>
  <c r="X251" i="69"/>
  <c r="AA271" i="69"/>
  <c r="X278" i="69"/>
  <c r="Y278" i="69"/>
  <c r="Y248" i="69"/>
  <c r="S271" i="69"/>
  <c r="Z271" i="69"/>
  <c r="S268" i="69"/>
  <c r="Z268" i="69"/>
  <c r="AA278" i="69"/>
  <c r="S266" i="69"/>
  <c r="Z266" i="69"/>
  <c r="Q267" i="69"/>
  <c r="S278" i="69"/>
  <c r="Z278" i="69"/>
  <c r="R267" i="69"/>
  <c r="S267" i="69"/>
  <c r="X268" i="69"/>
  <c r="Y268" i="69"/>
  <c r="X271" i="69"/>
  <c r="Y271" i="69"/>
  <c r="Y266" i="69"/>
  <c r="Y309" i="69"/>
  <c r="AA311" i="69"/>
  <c r="R309" i="69"/>
  <c r="AA309" i="69"/>
  <c r="S311" i="69"/>
  <c r="Z311" i="69"/>
  <c r="AA330" i="69"/>
  <c r="S330" i="69"/>
  <c r="X311" i="69"/>
  <c r="Y311" i="69"/>
  <c r="Z337" i="69"/>
  <c r="N331" i="69"/>
  <c r="Z340" i="69"/>
  <c r="Y355" i="69"/>
  <c r="Z330" i="69"/>
  <c r="Q346" i="69"/>
  <c r="X346" i="69"/>
  <c r="AA337" i="69"/>
  <c r="AA340" i="69"/>
  <c r="R350" i="69"/>
  <c r="Q350" i="69"/>
  <c r="AA350" i="69"/>
  <c r="R353" i="69"/>
  <c r="Q354" i="69"/>
  <c r="X354" i="69"/>
  <c r="Q353" i="69"/>
  <c r="R355" i="69"/>
  <c r="AA355" i="69"/>
  <c r="Z369" i="69"/>
  <c r="Y371" i="69"/>
  <c r="AA392" i="69"/>
  <c r="Q360" i="69"/>
  <c r="X360" i="69"/>
  <c r="Y368" i="69"/>
  <c r="AA374" i="69"/>
  <c r="S374" i="69"/>
  <c r="Z374" i="69"/>
  <c r="Z377" i="69"/>
  <c r="Y378" i="69"/>
  <c r="Z392" i="69"/>
  <c r="AA372" i="69"/>
  <c r="Y376" i="69"/>
  <c r="AA369" i="69"/>
  <c r="Z372" i="69"/>
  <c r="X372" i="69"/>
  <c r="Y372" i="69"/>
  <c r="X374" i="69"/>
  <c r="Y374" i="69"/>
  <c r="R368" i="69"/>
  <c r="AA368" i="69"/>
  <c r="X369" i="69"/>
  <c r="Y369" i="69"/>
  <c r="R371" i="69"/>
  <c r="AA371" i="69"/>
  <c r="R376" i="69"/>
  <c r="AA376" i="69"/>
  <c r="X377" i="69"/>
  <c r="Y377" i="69"/>
  <c r="R378" i="69"/>
  <c r="AA378" i="69"/>
  <c r="X392" i="69"/>
  <c r="Y392" i="69"/>
  <c r="S368" i="69"/>
  <c r="S371" i="69"/>
  <c r="Z371" i="69"/>
  <c r="S378" i="69"/>
  <c r="K23" i="67"/>
  <c r="J23" i="67"/>
  <c r="I23" i="67"/>
  <c r="L23" i="67"/>
  <c r="F28" i="67"/>
  <c r="H28" i="67"/>
  <c r="F25" i="67"/>
  <c r="H25" i="67"/>
  <c r="F24" i="67"/>
  <c r="H24" i="67"/>
  <c r="H22" i="67"/>
  <c r="F31" i="67"/>
  <c r="H31" i="67"/>
  <c r="F30" i="67"/>
  <c r="H30" i="67"/>
  <c r="F29" i="67"/>
  <c r="H29" i="67"/>
  <c r="M26" i="67"/>
  <c r="N26" i="67"/>
  <c r="Q26" i="67"/>
  <c r="S26" i="67"/>
  <c r="K27" i="67"/>
  <c r="J27" i="67"/>
  <c r="I27" i="67"/>
  <c r="L27" i="67"/>
  <c r="K19" i="67"/>
  <c r="L19" i="67"/>
  <c r="J17" i="67"/>
  <c r="K17" i="67"/>
  <c r="L17" i="67"/>
  <c r="I20" i="67"/>
  <c r="J20" i="67"/>
  <c r="K20" i="67"/>
  <c r="L20" i="67"/>
  <c r="I21" i="67"/>
  <c r="J21" i="67"/>
  <c r="K21" i="67"/>
  <c r="L21" i="67"/>
  <c r="K32" i="67"/>
  <c r="J32" i="67"/>
  <c r="L32" i="67"/>
  <c r="I11" i="68"/>
  <c r="J11" i="68"/>
  <c r="L11" i="68"/>
  <c r="K12" i="68"/>
  <c r="I12" i="68"/>
  <c r="L12" i="68"/>
  <c r="F35" i="67"/>
  <c r="H35" i="67"/>
  <c r="F34" i="67"/>
  <c r="H34" i="67"/>
  <c r="F18" i="67"/>
  <c r="H18" i="67"/>
  <c r="N33" i="67"/>
  <c r="Q33" i="67"/>
  <c r="S33" i="67"/>
  <c r="H16" i="68"/>
  <c r="F19" i="68"/>
  <c r="H19" i="68"/>
  <c r="F24" i="68"/>
  <c r="H24" i="68"/>
  <c r="F23" i="68"/>
  <c r="H23" i="68"/>
  <c r="F22" i="68"/>
  <c r="H22" i="68"/>
  <c r="F18" i="68"/>
  <c r="H18" i="68"/>
  <c r="I14" i="68"/>
  <c r="K14" i="68"/>
  <c r="J14" i="68"/>
  <c r="J17" i="68"/>
  <c r="I17" i="68"/>
  <c r="K17" i="68"/>
  <c r="L17" i="68"/>
  <c r="K13" i="68"/>
  <c r="I13" i="68"/>
  <c r="L13" i="68"/>
  <c r="K20" i="68"/>
  <c r="J20" i="68"/>
  <c r="I20" i="68"/>
  <c r="L20" i="68"/>
  <c r="J21" i="68"/>
  <c r="I21" i="68"/>
  <c r="K21" i="68"/>
  <c r="L21" i="68"/>
  <c r="F15" i="68"/>
  <c r="H15" i="68"/>
  <c r="AA37" i="66"/>
  <c r="AA36" i="66"/>
  <c r="F21" i="66"/>
  <c r="F23" i="66"/>
  <c r="F29" i="66"/>
  <c r="H29" i="66"/>
  <c r="W36" i="66"/>
  <c r="R20" i="66"/>
  <c r="F25" i="66"/>
  <c r="F27" i="66"/>
  <c r="U37" i="66"/>
  <c r="F22" i="66"/>
  <c r="F32" i="66"/>
  <c r="H32" i="66"/>
  <c r="F33" i="66"/>
  <c r="H33" i="66"/>
  <c r="F26" i="66"/>
  <c r="F20" i="33"/>
  <c r="H20" i="33"/>
  <c r="I20" i="33"/>
  <c r="F20" i="42"/>
  <c r="H20" i="42"/>
  <c r="I20" i="42"/>
  <c r="F20" i="34"/>
  <c r="H20" i="34"/>
  <c r="I20" i="34"/>
  <c r="F20" i="35"/>
  <c r="H20" i="35"/>
  <c r="I20" i="35"/>
  <c r="F20" i="43"/>
  <c r="H20" i="43"/>
  <c r="I20" i="43"/>
  <c r="J41" i="65"/>
  <c r="I41" i="65"/>
  <c r="J147" i="65"/>
  <c r="I147" i="65"/>
  <c r="J156" i="65"/>
  <c r="I156" i="65"/>
  <c r="I187" i="65"/>
  <c r="J187" i="65"/>
  <c r="J272" i="65"/>
  <c r="I272" i="65"/>
  <c r="J15" i="65"/>
  <c r="I15" i="65"/>
  <c r="J30" i="65"/>
  <c r="I30" i="65"/>
  <c r="J38" i="65"/>
  <c r="I38" i="65"/>
  <c r="J44" i="65"/>
  <c r="I44" i="65"/>
  <c r="J48" i="65"/>
  <c r="I48" i="65"/>
  <c r="J153" i="65"/>
  <c r="I153" i="65"/>
  <c r="J158" i="65"/>
  <c r="I158" i="65"/>
  <c r="I210" i="65"/>
  <c r="J210" i="65"/>
  <c r="I221" i="65"/>
  <c r="J221" i="65"/>
  <c r="J318" i="65"/>
  <c r="I318" i="65"/>
  <c r="J45" i="65"/>
  <c r="I45" i="65"/>
  <c r="J93" i="65"/>
  <c r="I93" i="65"/>
  <c r="J154" i="65"/>
  <c r="I154" i="65"/>
  <c r="J183" i="65"/>
  <c r="I183" i="65"/>
  <c r="J9" i="65"/>
  <c r="I9" i="65"/>
  <c r="J17" i="65"/>
  <c r="I17" i="65"/>
  <c r="J32" i="65"/>
  <c r="I32" i="65"/>
  <c r="J40" i="65"/>
  <c r="I40" i="65"/>
  <c r="J95" i="65"/>
  <c r="I95" i="65"/>
  <c r="J155" i="65"/>
  <c r="I155" i="65"/>
  <c r="J208" i="65"/>
  <c r="I208" i="65"/>
  <c r="J218" i="65"/>
  <c r="I218" i="65"/>
  <c r="J271" i="65"/>
  <c r="I271" i="65"/>
  <c r="J308" i="65"/>
  <c r="I308" i="65"/>
  <c r="J13" i="65"/>
  <c r="J26" i="65"/>
  <c r="J36" i="65"/>
  <c r="J73" i="65"/>
  <c r="J74" i="65"/>
  <c r="J75" i="65"/>
  <c r="J79" i="65"/>
  <c r="J80" i="65"/>
  <c r="J84" i="65"/>
  <c r="J85" i="65"/>
  <c r="J86" i="65"/>
  <c r="J87" i="65"/>
  <c r="J90" i="65"/>
  <c r="J180" i="65"/>
  <c r="J190" i="65"/>
  <c r="I206" i="65"/>
  <c r="H224" i="65"/>
  <c r="J454" i="65"/>
  <c r="I454" i="65"/>
  <c r="J465" i="65"/>
  <c r="I465" i="65"/>
  <c r="J338" i="65"/>
  <c r="I338" i="65"/>
  <c r="I386" i="65"/>
  <c r="J386" i="65"/>
  <c r="J415" i="65"/>
  <c r="I415" i="65"/>
  <c r="J426" i="65"/>
  <c r="I426" i="65"/>
  <c r="J456" i="65"/>
  <c r="I456" i="65"/>
  <c r="J468" i="65"/>
  <c r="I468" i="65"/>
  <c r="J400" i="65"/>
  <c r="I400" i="65"/>
  <c r="J417" i="65"/>
  <c r="I417" i="65"/>
  <c r="J429" i="65"/>
  <c r="I429" i="65"/>
  <c r="J451" i="65"/>
  <c r="I451" i="65"/>
  <c r="J461" i="65"/>
  <c r="I461" i="65"/>
  <c r="J471" i="65"/>
  <c r="I471" i="65"/>
  <c r="H214" i="65"/>
  <c r="I255" i="65"/>
  <c r="I309" i="65"/>
  <c r="J329" i="65"/>
  <c r="I329" i="65"/>
  <c r="J377" i="65"/>
  <c r="I384" i="65"/>
  <c r="J384" i="65"/>
  <c r="J388" i="65"/>
  <c r="I388" i="65"/>
  <c r="J463" i="65"/>
  <c r="I463" i="65"/>
  <c r="I514" i="65"/>
  <c r="J412" i="65"/>
  <c r="J421" i="65"/>
  <c r="J422" i="65"/>
  <c r="J438" i="65"/>
  <c r="J441" i="65"/>
  <c r="J446" i="65"/>
  <c r="J448" i="65"/>
  <c r="P32" i="10"/>
  <c r="V34" i="66"/>
  <c r="O34" i="66"/>
  <c r="Y55" i="69"/>
  <c r="T55" i="69"/>
  <c r="Y75" i="69"/>
  <c r="T75" i="69"/>
  <c r="T60" i="69"/>
  <c r="Y40" i="69"/>
  <c r="T40" i="69"/>
  <c r="T25" i="69"/>
  <c r="Y25" i="69"/>
  <c r="Y72" i="69"/>
  <c r="T72" i="69"/>
  <c r="Y66" i="69"/>
  <c r="T66" i="69"/>
  <c r="T32" i="69"/>
  <c r="T70" i="69"/>
  <c r="Z267" i="69"/>
  <c r="Y267" i="69"/>
  <c r="Y251" i="69"/>
  <c r="Z251" i="69"/>
  <c r="S236" i="69"/>
  <c r="N221" i="69"/>
  <c r="O240" i="69"/>
  <c r="N215" i="69"/>
  <c r="P231" i="69"/>
  <c r="N231" i="69"/>
  <c r="X231" i="69"/>
  <c r="O252" i="69"/>
  <c r="P252" i="69"/>
  <c r="N252" i="69"/>
  <c r="O275" i="69"/>
  <c r="N275" i="69"/>
  <c r="P275" i="69"/>
  <c r="O294" i="69"/>
  <c r="N294" i="69"/>
  <c r="P294" i="69"/>
  <c r="X294" i="69"/>
  <c r="N253" i="69"/>
  <c r="O253" i="69"/>
  <c r="Q253" i="69"/>
  <c r="N276" i="69"/>
  <c r="O276" i="69"/>
  <c r="P276" i="69"/>
  <c r="X276" i="69"/>
  <c r="N291" i="69"/>
  <c r="P291" i="69"/>
  <c r="O291" i="69"/>
  <c r="P262" i="69"/>
  <c r="O262" i="69"/>
  <c r="N262" i="69"/>
  <c r="Q262" i="69"/>
  <c r="P280" i="69"/>
  <c r="N280" i="69"/>
  <c r="X280" i="69"/>
  <c r="P296" i="69"/>
  <c r="O296" i="69"/>
  <c r="N296" i="69"/>
  <c r="P259" i="69"/>
  <c r="N259" i="69"/>
  <c r="P285" i="69"/>
  <c r="O285" i="69"/>
  <c r="N285" i="69"/>
  <c r="P301" i="69"/>
  <c r="N301" i="69"/>
  <c r="O344" i="69"/>
  <c r="P345" i="69"/>
  <c r="O345" i="69"/>
  <c r="P65" i="69"/>
  <c r="P37" i="69"/>
  <c r="P33" i="69"/>
  <c r="O33" i="69"/>
  <c r="N33" i="69"/>
  <c r="F117" i="69"/>
  <c r="M117" i="69"/>
  <c r="M93" i="69"/>
  <c r="X93" i="69"/>
  <c r="Y93" i="69"/>
  <c r="Z116" i="69"/>
  <c r="Y116" i="69"/>
  <c r="X60" i="69"/>
  <c r="Y60" i="69"/>
  <c r="M58" i="69"/>
  <c r="O126" i="69"/>
  <c r="P126" i="69"/>
  <c r="M22" i="69"/>
  <c r="M76" i="69"/>
  <c r="N131" i="69"/>
  <c r="P131" i="69"/>
  <c r="O131" i="69"/>
  <c r="P30" i="69"/>
  <c r="O30" i="69"/>
  <c r="P120" i="69"/>
  <c r="O120" i="69"/>
  <c r="N120" i="69"/>
  <c r="P136" i="69"/>
  <c r="O136" i="69"/>
  <c r="N136" i="69"/>
  <c r="X136" i="69"/>
  <c r="P27" i="69"/>
  <c r="N27" i="69"/>
  <c r="O27" i="69"/>
  <c r="X27" i="69"/>
  <c r="F173" i="69"/>
  <c r="M173" i="69"/>
  <c r="M172" i="69"/>
  <c r="N157" i="69"/>
  <c r="P157" i="69"/>
  <c r="O157" i="69"/>
  <c r="P147" i="69"/>
  <c r="O147" i="69"/>
  <c r="N147" i="69"/>
  <c r="X147" i="69"/>
  <c r="P166" i="69"/>
  <c r="O166" i="69"/>
  <c r="N166" i="69"/>
  <c r="P152" i="69"/>
  <c r="O152" i="69"/>
  <c r="N152" i="69"/>
  <c r="P171" i="69"/>
  <c r="O171" i="69"/>
  <c r="N171" i="69"/>
  <c r="N357" i="69"/>
  <c r="O357" i="69"/>
  <c r="P357" i="69"/>
  <c r="P359" i="69"/>
  <c r="N359" i="69"/>
  <c r="O359" i="69"/>
  <c r="X359" i="69"/>
  <c r="O375" i="69"/>
  <c r="N375" i="69"/>
  <c r="P375" i="69"/>
  <c r="Q375" i="69"/>
  <c r="P364" i="69"/>
  <c r="O364" i="69"/>
  <c r="N364" i="69"/>
  <c r="N385" i="69"/>
  <c r="P385" i="69"/>
  <c r="O385" i="69"/>
  <c r="P382" i="69"/>
  <c r="O382" i="69"/>
  <c r="N382" i="69"/>
  <c r="P379" i="69"/>
  <c r="O379" i="69"/>
  <c r="N379" i="69"/>
  <c r="X70" i="69"/>
  <c r="Y70" i="69"/>
  <c r="Q71" i="69"/>
  <c r="Q21" i="69"/>
  <c r="Z378" i="69"/>
  <c r="Y360" i="69"/>
  <c r="Z360" i="69"/>
  <c r="S355" i="69"/>
  <c r="Z355" i="69"/>
  <c r="Y354" i="69"/>
  <c r="Z354" i="69"/>
  <c r="S350" i="69"/>
  <c r="Y346" i="69"/>
  <c r="Z346" i="69"/>
  <c r="AA354" i="69"/>
  <c r="S309" i="69"/>
  <c r="Z309" i="69"/>
  <c r="Z174" i="69"/>
  <c r="Y174" i="69"/>
  <c r="Z175" i="69"/>
  <c r="Y175" i="69"/>
  <c r="AA174" i="69"/>
  <c r="P46" i="69"/>
  <c r="N46" i="69"/>
  <c r="O181" i="69"/>
  <c r="P181" i="69"/>
  <c r="N196" i="69"/>
  <c r="O212" i="69"/>
  <c r="N212" i="69"/>
  <c r="P212" i="69"/>
  <c r="O228" i="69"/>
  <c r="N228" i="69"/>
  <c r="O245" i="69"/>
  <c r="N245" i="69"/>
  <c r="P245" i="69"/>
  <c r="P202" i="69"/>
  <c r="O202" i="69"/>
  <c r="N202" i="69"/>
  <c r="P347" i="69"/>
  <c r="O347" i="69"/>
  <c r="N347" i="69"/>
  <c r="X347" i="69"/>
  <c r="M348" i="69"/>
  <c r="F349" i="69"/>
  <c r="M349" i="69"/>
  <c r="P62" i="69"/>
  <c r="O62" i="69"/>
  <c r="N62" i="69"/>
  <c r="Q62" i="69"/>
  <c r="P36" i="69"/>
  <c r="O36" i="69"/>
  <c r="N36" i="69"/>
  <c r="M51" i="69"/>
  <c r="M41" i="69"/>
  <c r="O63" i="69"/>
  <c r="N63" i="69"/>
  <c r="P63" i="69"/>
  <c r="O52" i="69"/>
  <c r="N52" i="69"/>
  <c r="P52" i="69"/>
  <c r="F19" i="69"/>
  <c r="M19" i="69"/>
  <c r="M18" i="69"/>
  <c r="Q59" i="69"/>
  <c r="X32" i="69"/>
  <c r="Y32" i="69"/>
  <c r="M69" i="69"/>
  <c r="O130" i="69"/>
  <c r="N130" i="69"/>
  <c r="P130" i="69"/>
  <c r="M23" i="69"/>
  <c r="M99" i="69"/>
  <c r="N135" i="69"/>
  <c r="P135" i="69"/>
  <c r="O135" i="69"/>
  <c r="P47" i="69"/>
  <c r="O47" i="69"/>
  <c r="N47" i="69"/>
  <c r="P125" i="69"/>
  <c r="O125" i="69"/>
  <c r="N125" i="69"/>
  <c r="O145" i="69"/>
  <c r="N145" i="69"/>
  <c r="P145" i="69"/>
  <c r="X145" i="69"/>
  <c r="O160" i="69"/>
  <c r="N160" i="69"/>
  <c r="P160" i="69"/>
  <c r="X160" i="69"/>
  <c r="N146" i="69"/>
  <c r="O146" i="69"/>
  <c r="P146" i="69"/>
  <c r="X146" i="69"/>
  <c r="N161" i="69"/>
  <c r="P161" i="69"/>
  <c r="O161" i="69"/>
  <c r="P151" i="69"/>
  <c r="O151" i="69"/>
  <c r="N151" i="69"/>
  <c r="P170" i="69"/>
  <c r="O170" i="69"/>
  <c r="N170" i="69"/>
  <c r="P159" i="69"/>
  <c r="O159" i="69"/>
  <c r="N159" i="69"/>
  <c r="N272" i="69"/>
  <c r="P272" i="69"/>
  <c r="O272" i="69"/>
  <c r="O356" i="69"/>
  <c r="N356" i="69"/>
  <c r="P356" i="69"/>
  <c r="N362" i="69"/>
  <c r="P362" i="69"/>
  <c r="O362" i="69"/>
  <c r="O380" i="69"/>
  <c r="N380" i="69"/>
  <c r="P380" i="69"/>
  <c r="N370" i="69"/>
  <c r="P370" i="69"/>
  <c r="O370" i="69"/>
  <c r="N389" i="69"/>
  <c r="P389" i="69"/>
  <c r="O389" i="69"/>
  <c r="P386" i="69"/>
  <c r="O386" i="69"/>
  <c r="N386" i="69"/>
  <c r="X386" i="69"/>
  <c r="P383" i="69"/>
  <c r="O383" i="69"/>
  <c r="N383" i="69"/>
  <c r="Q50" i="69"/>
  <c r="S119" i="69"/>
  <c r="Z119" i="69"/>
  <c r="S376" i="69"/>
  <c r="Z376" i="69"/>
  <c r="Y353" i="69"/>
  <c r="AA353" i="69"/>
  <c r="AA346" i="69"/>
  <c r="AA267" i="69"/>
  <c r="AA251" i="69"/>
  <c r="N178" i="69"/>
  <c r="O178" i="69"/>
  <c r="P178" i="69"/>
  <c r="X178" i="69"/>
  <c r="N194" i="69"/>
  <c r="P194" i="69"/>
  <c r="O194" i="69"/>
  <c r="P191" i="69"/>
  <c r="O191" i="69"/>
  <c r="N191" i="69"/>
  <c r="P184" i="69"/>
  <c r="O184" i="69"/>
  <c r="N184" i="69"/>
  <c r="X184" i="69"/>
  <c r="O216" i="69"/>
  <c r="N216" i="69"/>
  <c r="P216" i="69"/>
  <c r="Q216" i="69"/>
  <c r="N213" i="69"/>
  <c r="P213" i="69"/>
  <c r="O213" i="69"/>
  <c r="N229" i="69"/>
  <c r="P229" i="69"/>
  <c r="O229" i="69"/>
  <c r="X229" i="69"/>
  <c r="N246" i="69"/>
  <c r="P246" i="69"/>
  <c r="O246" i="69"/>
  <c r="Q246" i="69"/>
  <c r="P206" i="69"/>
  <c r="O206" i="69"/>
  <c r="N206" i="69"/>
  <c r="P222" i="69"/>
  <c r="O222" i="69"/>
  <c r="N222" i="69"/>
  <c r="P237" i="69"/>
  <c r="O237" i="69"/>
  <c r="N237" i="69"/>
  <c r="P207" i="69"/>
  <c r="O207" i="69"/>
  <c r="N207" i="69"/>
  <c r="X207" i="69"/>
  <c r="P223" i="69"/>
  <c r="O223" i="69"/>
  <c r="N223" i="69"/>
  <c r="Q223" i="69"/>
  <c r="X223" i="69"/>
  <c r="P238" i="69"/>
  <c r="O238" i="69"/>
  <c r="N238" i="69"/>
  <c r="O260" i="69"/>
  <c r="N260" i="69"/>
  <c r="P260" i="69"/>
  <c r="O286" i="69"/>
  <c r="N286" i="69"/>
  <c r="P286" i="69"/>
  <c r="O302" i="69"/>
  <c r="N302" i="69"/>
  <c r="P302" i="69"/>
  <c r="N261" i="69"/>
  <c r="P261" i="69"/>
  <c r="O261" i="69"/>
  <c r="N283" i="69"/>
  <c r="P283" i="69"/>
  <c r="O283" i="69"/>
  <c r="N299" i="69"/>
  <c r="P299" i="69"/>
  <c r="O299" i="69"/>
  <c r="P273" i="69"/>
  <c r="O273" i="69"/>
  <c r="N273" i="69"/>
  <c r="P288" i="69"/>
  <c r="O288" i="69"/>
  <c r="N288" i="69"/>
  <c r="P304" i="69"/>
  <c r="O304" i="69"/>
  <c r="N304" i="69"/>
  <c r="X304" i="69"/>
  <c r="P274" i="69"/>
  <c r="O274" i="69"/>
  <c r="N274" i="69"/>
  <c r="X274" i="69"/>
  <c r="P293" i="69"/>
  <c r="N293" i="69"/>
  <c r="O293" i="69"/>
  <c r="Q293" i="69"/>
  <c r="O315" i="69"/>
  <c r="N315" i="69"/>
  <c r="P315" i="69"/>
  <c r="O334" i="69"/>
  <c r="N334" i="69"/>
  <c r="P334" i="69"/>
  <c r="O320" i="69"/>
  <c r="N320" i="69"/>
  <c r="P320" i="69"/>
  <c r="P310" i="69"/>
  <c r="O310" i="69"/>
  <c r="N310" i="69"/>
  <c r="P328" i="69"/>
  <c r="O328" i="69"/>
  <c r="N328" i="69"/>
  <c r="X328" i="69"/>
  <c r="O342" i="69"/>
  <c r="N342" i="69"/>
  <c r="P342" i="69"/>
  <c r="X342" i="69"/>
  <c r="P338" i="69"/>
  <c r="O338" i="69"/>
  <c r="N338" i="69"/>
  <c r="P35" i="69"/>
  <c r="O35" i="69"/>
  <c r="N35" i="69"/>
  <c r="Q35" i="69"/>
  <c r="M74" i="69"/>
  <c r="M31" i="69"/>
  <c r="O45" i="69"/>
  <c r="N45" i="69"/>
  <c r="P45" i="69"/>
  <c r="Q45" i="69"/>
  <c r="X45" i="69"/>
  <c r="P29" i="69"/>
  <c r="O29" i="69"/>
  <c r="N29" i="69"/>
  <c r="M17" i="69"/>
  <c r="M56" i="69"/>
  <c r="O134" i="69"/>
  <c r="N134" i="69"/>
  <c r="P134" i="69"/>
  <c r="M24" i="69"/>
  <c r="N123" i="69"/>
  <c r="O123" i="69"/>
  <c r="P123" i="69"/>
  <c r="Q123" i="69"/>
  <c r="T123" i="69"/>
  <c r="R123" i="69"/>
  <c r="N139" i="69"/>
  <c r="O139" i="69"/>
  <c r="P139" i="69"/>
  <c r="X139" i="69"/>
  <c r="Q139" i="69"/>
  <c r="Y139" i="69"/>
  <c r="P128" i="69"/>
  <c r="O128" i="69"/>
  <c r="N128" i="69"/>
  <c r="O143" i="69"/>
  <c r="N143" i="69"/>
  <c r="P143" i="69"/>
  <c r="P129" i="69"/>
  <c r="O129" i="69"/>
  <c r="N129" i="69"/>
  <c r="O164" i="69"/>
  <c r="N164" i="69"/>
  <c r="P164" i="69"/>
  <c r="N150" i="69"/>
  <c r="P150" i="69"/>
  <c r="O150" i="69"/>
  <c r="N165" i="69"/>
  <c r="O165" i="69"/>
  <c r="P165" i="69"/>
  <c r="X165" i="69"/>
  <c r="P158" i="69"/>
  <c r="O158" i="69"/>
  <c r="N158" i="69"/>
  <c r="P144" i="69"/>
  <c r="N144" i="69"/>
  <c r="O144" i="69"/>
  <c r="P163" i="69"/>
  <c r="O163" i="69"/>
  <c r="N163" i="69"/>
  <c r="N352" i="69"/>
  <c r="P352" i="69"/>
  <c r="O352" i="69"/>
  <c r="P358" i="69"/>
  <c r="N358" i="69"/>
  <c r="O358" i="69"/>
  <c r="N363" i="69"/>
  <c r="P363" i="69"/>
  <c r="O363" i="69"/>
  <c r="X363" i="69"/>
  <c r="O384" i="69"/>
  <c r="N384" i="69"/>
  <c r="P384" i="69"/>
  <c r="X384" i="69"/>
  <c r="N373" i="69"/>
  <c r="P373" i="69"/>
  <c r="O373" i="69"/>
  <c r="P390" i="69"/>
  <c r="O390" i="69"/>
  <c r="N390" i="69"/>
  <c r="P387" i="69"/>
  <c r="O387" i="69"/>
  <c r="N387" i="69"/>
  <c r="X387" i="69"/>
  <c r="Z368" i="69"/>
  <c r="AA360" i="69"/>
  <c r="Z350" i="69"/>
  <c r="Y350" i="69"/>
  <c r="S353" i="69"/>
  <c r="Z353" i="69"/>
  <c r="R331" i="69"/>
  <c r="S331" i="69"/>
  <c r="Z236" i="69"/>
  <c r="P64" i="69"/>
  <c r="N64" i="69"/>
  <c r="O38" i="69"/>
  <c r="N38" i="69"/>
  <c r="P38" i="69"/>
  <c r="O189" i="69"/>
  <c r="N189" i="69"/>
  <c r="P189" i="69"/>
  <c r="O204" i="69"/>
  <c r="N204" i="69"/>
  <c r="P204" i="69"/>
  <c r="O220" i="69"/>
  <c r="N220" i="69"/>
  <c r="P220" i="69"/>
  <c r="O239" i="69"/>
  <c r="N239" i="69"/>
  <c r="P239" i="69"/>
  <c r="N201" i="69"/>
  <c r="P201" i="69"/>
  <c r="O201" i="69"/>
  <c r="O247" i="69"/>
  <c r="N247" i="69"/>
  <c r="P227" i="69"/>
  <c r="O227" i="69"/>
  <c r="N227" i="69"/>
  <c r="O254" i="69"/>
  <c r="N254" i="69"/>
  <c r="P254" i="69"/>
  <c r="F265" i="69"/>
  <c r="M265" i="69"/>
  <c r="N265" i="69"/>
  <c r="M264" i="69"/>
  <c r="N250" i="69"/>
  <c r="P250" i="69"/>
  <c r="O287" i="69"/>
  <c r="N303" i="69"/>
  <c r="P303" i="69"/>
  <c r="O303" i="69"/>
  <c r="P277" i="69"/>
  <c r="O277" i="69"/>
  <c r="N277" i="69"/>
  <c r="P255" i="69"/>
  <c r="N255" i="69"/>
  <c r="O255" i="69"/>
  <c r="P281" i="69"/>
  <c r="O281" i="69"/>
  <c r="N281" i="69"/>
  <c r="O319" i="69"/>
  <c r="N319" i="69"/>
  <c r="P319" i="69"/>
  <c r="O306" i="69"/>
  <c r="N327" i="69"/>
  <c r="O327" i="69"/>
  <c r="P327" i="69"/>
  <c r="X327" i="69"/>
  <c r="P313" i="69"/>
  <c r="N313" i="69"/>
  <c r="P314" i="69"/>
  <c r="N314" i="69"/>
  <c r="O314" i="69"/>
  <c r="Q314" i="69"/>
  <c r="P321" i="69"/>
  <c r="O321" i="69"/>
  <c r="F336" i="69"/>
  <c r="M336" i="69"/>
  <c r="M335" i="69"/>
  <c r="N335" i="69"/>
  <c r="P341" i="69"/>
  <c r="O341" i="69"/>
  <c r="N341" i="69"/>
  <c r="Q341" i="69"/>
  <c r="T341" i="69"/>
  <c r="R341" i="69"/>
  <c r="Y68" i="69"/>
  <c r="T68" i="69"/>
  <c r="Y49" i="69"/>
  <c r="T49" i="69"/>
  <c r="P34" i="69"/>
  <c r="O34" i="69"/>
  <c r="N34" i="69"/>
  <c r="Q34" i="69"/>
  <c r="AA116" i="69"/>
  <c r="M48" i="69"/>
  <c r="O48" i="69"/>
  <c r="O67" i="69"/>
  <c r="N67" i="69"/>
  <c r="P67" i="69"/>
  <c r="Q67" i="69"/>
  <c r="X67" i="69"/>
  <c r="O54" i="69"/>
  <c r="N54" i="69"/>
  <c r="P54" i="69"/>
  <c r="Q54" i="69"/>
  <c r="X54" i="69"/>
  <c r="AB16" i="69"/>
  <c r="P16" i="69"/>
  <c r="O16" i="69"/>
  <c r="N16" i="69"/>
  <c r="M57" i="69"/>
  <c r="O122" i="69"/>
  <c r="N122" i="69"/>
  <c r="P122" i="69"/>
  <c r="O138" i="69"/>
  <c r="N138" i="69"/>
  <c r="P138" i="69"/>
  <c r="M43" i="69"/>
  <c r="N43" i="69"/>
  <c r="N127" i="69"/>
  <c r="O127" i="69"/>
  <c r="P127" i="69"/>
  <c r="X127" i="69"/>
  <c r="N142" i="69"/>
  <c r="P142" i="69"/>
  <c r="O142" i="69"/>
  <c r="P132" i="69"/>
  <c r="O132" i="69"/>
  <c r="N132" i="69"/>
  <c r="X132" i="69"/>
  <c r="P26" i="69"/>
  <c r="N26" i="69"/>
  <c r="O26" i="69"/>
  <c r="P98" i="69"/>
  <c r="O98" i="69"/>
  <c r="N98" i="69"/>
  <c r="P133" i="69"/>
  <c r="O133" i="69"/>
  <c r="N133" i="69"/>
  <c r="O153" i="69"/>
  <c r="N153" i="69"/>
  <c r="P153" i="69"/>
  <c r="O168" i="69"/>
  <c r="N168" i="69"/>
  <c r="P168" i="69"/>
  <c r="N154" i="69"/>
  <c r="P154" i="69"/>
  <c r="O154" i="69"/>
  <c r="N169" i="69"/>
  <c r="P169" i="69"/>
  <c r="O169" i="69"/>
  <c r="P162" i="69"/>
  <c r="O162" i="69"/>
  <c r="N162" i="69"/>
  <c r="P148" i="69"/>
  <c r="O148" i="69"/>
  <c r="N148" i="69"/>
  <c r="P167" i="69"/>
  <c r="O167" i="69"/>
  <c r="N167" i="69"/>
  <c r="O351" i="69"/>
  <c r="N351" i="69"/>
  <c r="P351" i="69"/>
  <c r="P361" i="69"/>
  <c r="O361" i="69"/>
  <c r="N361" i="69"/>
  <c r="Q361" i="69"/>
  <c r="O367" i="69"/>
  <c r="N367" i="69"/>
  <c r="P367" i="69"/>
  <c r="O388" i="69"/>
  <c r="N388" i="69"/>
  <c r="P388" i="69"/>
  <c r="N381" i="69"/>
  <c r="P381" i="69"/>
  <c r="O381" i="69"/>
  <c r="P365" i="69"/>
  <c r="O365" i="69"/>
  <c r="N365" i="69"/>
  <c r="P366" i="69"/>
  <c r="O366" i="69"/>
  <c r="N366" i="69"/>
  <c r="M21" i="68"/>
  <c r="N21" i="68"/>
  <c r="M21" i="67"/>
  <c r="N21" i="67"/>
  <c r="Q21" i="67"/>
  <c r="S21" i="67"/>
  <c r="M13" i="68"/>
  <c r="N13" i="68"/>
  <c r="Q13" i="68"/>
  <c r="S13" i="68"/>
  <c r="M12" i="68"/>
  <c r="M20" i="67"/>
  <c r="N20" i="67"/>
  <c r="Q20" i="67"/>
  <c r="S20" i="67"/>
  <c r="M27" i="67"/>
  <c r="N27" i="67"/>
  <c r="Q27" i="67"/>
  <c r="S27" i="67"/>
  <c r="T26" i="67"/>
  <c r="P26" i="67"/>
  <c r="M23" i="67"/>
  <c r="N23" i="67"/>
  <c r="Q23" i="67"/>
  <c r="S23" i="67"/>
  <c r="M20" i="68"/>
  <c r="N20" i="68"/>
  <c r="Q20" i="68"/>
  <c r="S20" i="68"/>
  <c r="T33" i="67"/>
  <c r="P33" i="67"/>
  <c r="M17" i="67"/>
  <c r="N17" i="67"/>
  <c r="Q17" i="67"/>
  <c r="S17" i="67"/>
  <c r="I18" i="68"/>
  <c r="J18" i="68"/>
  <c r="K18" i="68"/>
  <c r="L18" i="68"/>
  <c r="K19" i="68"/>
  <c r="J19" i="68"/>
  <c r="I19" i="68"/>
  <c r="L19" i="68"/>
  <c r="K35" i="67"/>
  <c r="J35" i="67"/>
  <c r="I35" i="67"/>
  <c r="L35" i="67"/>
  <c r="J30" i="67"/>
  <c r="I30" i="67"/>
  <c r="K30" i="67"/>
  <c r="L30" i="67"/>
  <c r="K25" i="67"/>
  <c r="J25" i="67"/>
  <c r="I25" i="67"/>
  <c r="L25" i="67"/>
  <c r="J22" i="68"/>
  <c r="I22" i="68"/>
  <c r="K22" i="68"/>
  <c r="L22" i="68"/>
  <c r="K16" i="68"/>
  <c r="J16" i="68"/>
  <c r="I16" i="68"/>
  <c r="L16" i="68"/>
  <c r="I18" i="67"/>
  <c r="J18" i="67"/>
  <c r="K18" i="67"/>
  <c r="L18" i="67"/>
  <c r="J31" i="67"/>
  <c r="I31" i="67"/>
  <c r="K31" i="67"/>
  <c r="L31" i="67"/>
  <c r="K28" i="67"/>
  <c r="J28" i="67"/>
  <c r="I28" i="67"/>
  <c r="L28" i="67"/>
  <c r="M17" i="68"/>
  <c r="N17" i="68"/>
  <c r="Q17" i="68"/>
  <c r="S17" i="68"/>
  <c r="J23" i="68"/>
  <c r="I23" i="68"/>
  <c r="K23" i="68"/>
  <c r="L23" i="68"/>
  <c r="M11" i="68"/>
  <c r="N11" i="68"/>
  <c r="M19" i="67"/>
  <c r="N19" i="67"/>
  <c r="Q19" i="67"/>
  <c r="S19" i="67"/>
  <c r="I22" i="67"/>
  <c r="J22" i="67"/>
  <c r="K22" i="67"/>
  <c r="L22" i="67"/>
  <c r="I15" i="68"/>
  <c r="J15" i="68"/>
  <c r="K15" i="68"/>
  <c r="L15" i="68"/>
  <c r="L14" i="68"/>
  <c r="J24" i="68"/>
  <c r="I24" i="68"/>
  <c r="K24" i="68"/>
  <c r="L24" i="68"/>
  <c r="K34" i="67"/>
  <c r="J34" i="67"/>
  <c r="I34" i="67"/>
  <c r="L34" i="67"/>
  <c r="M32" i="67"/>
  <c r="N32" i="67"/>
  <c r="I29" i="67"/>
  <c r="J29" i="67"/>
  <c r="K29" i="67"/>
  <c r="L29" i="67"/>
  <c r="K24" i="67"/>
  <c r="J24" i="67"/>
  <c r="I24" i="67"/>
  <c r="L24" i="67"/>
  <c r="AH29" i="66"/>
  <c r="J214" i="65"/>
  <c r="I214" i="65"/>
  <c r="J224" i="65"/>
  <c r="I224" i="65"/>
  <c r="V32" i="10"/>
  <c r="O32" i="10"/>
  <c r="Y67" i="69"/>
  <c r="T67" i="69"/>
  <c r="T35" i="69"/>
  <c r="T62" i="69"/>
  <c r="Q169" i="69"/>
  <c r="X26" i="69"/>
  <c r="N48" i="69"/>
  <c r="P48" i="69"/>
  <c r="R49" i="69"/>
  <c r="U49" i="69"/>
  <c r="V49" i="69"/>
  <c r="R68" i="69"/>
  <c r="U68" i="69"/>
  <c r="V68" i="69"/>
  <c r="P335" i="69"/>
  <c r="O335" i="69"/>
  <c r="Q303" i="69"/>
  <c r="P265" i="69"/>
  <c r="O265" i="69"/>
  <c r="Q239" i="69"/>
  <c r="Q163" i="69"/>
  <c r="Q128" i="69"/>
  <c r="P17" i="69"/>
  <c r="O17" i="69"/>
  <c r="N17" i="69"/>
  <c r="X29" i="69"/>
  <c r="N74" i="69"/>
  <c r="O74" i="69"/>
  <c r="P74" i="69"/>
  <c r="X74" i="69"/>
  <c r="Q74" i="69"/>
  <c r="Y74" i="69"/>
  <c r="X35" i="69"/>
  <c r="Y35" i="69"/>
  <c r="Q338" i="69"/>
  <c r="Q328" i="69"/>
  <c r="Q334" i="69"/>
  <c r="Q274" i="69"/>
  <c r="Q304" i="69"/>
  <c r="Q261" i="69"/>
  <c r="Q302" i="69"/>
  <c r="Q207" i="69"/>
  <c r="Q237" i="69"/>
  <c r="Q213" i="69"/>
  <c r="Q178" i="69"/>
  <c r="X356" i="69"/>
  <c r="Q146" i="69"/>
  <c r="Q160" i="69"/>
  <c r="Q135" i="69"/>
  <c r="P23" i="69"/>
  <c r="O23" i="69"/>
  <c r="N23" i="69"/>
  <c r="X23" i="69"/>
  <c r="Y59" i="69"/>
  <c r="T59" i="69"/>
  <c r="X63" i="69"/>
  <c r="Q245" i="69"/>
  <c r="Q181" i="69"/>
  <c r="Q171" i="69"/>
  <c r="Q131" i="69"/>
  <c r="P22" i="69"/>
  <c r="N22" i="69"/>
  <c r="O22" i="69"/>
  <c r="N42" i="69"/>
  <c r="P42" i="69"/>
  <c r="O42" i="69"/>
  <c r="Q285" i="69"/>
  <c r="Q276" i="69"/>
  <c r="Q252" i="69"/>
  <c r="Q168" i="69"/>
  <c r="Q127" i="69"/>
  <c r="Q220" i="69"/>
  <c r="Q387" i="69"/>
  <c r="Q390" i="69"/>
  <c r="T390" i="69"/>
  <c r="R390" i="69"/>
  <c r="S390" i="69"/>
  <c r="Q373" i="69"/>
  <c r="Q384" i="69"/>
  <c r="Q358" i="69"/>
  <c r="Q352" i="69"/>
  <c r="Q158" i="69"/>
  <c r="Q165" i="69"/>
  <c r="P24" i="69"/>
  <c r="O24" i="69"/>
  <c r="N24" i="69"/>
  <c r="Q288" i="69"/>
  <c r="Q286" i="69"/>
  <c r="Q222" i="69"/>
  <c r="Y50" i="69"/>
  <c r="T50" i="69"/>
  <c r="Q362" i="69"/>
  <c r="Q145" i="69"/>
  <c r="Q125" i="69"/>
  <c r="P18" i="69"/>
  <c r="O18" i="69"/>
  <c r="N18" i="69"/>
  <c r="X18" i="69"/>
  <c r="N41" i="69"/>
  <c r="P41" i="69"/>
  <c r="O41" i="69"/>
  <c r="N349" i="69"/>
  <c r="P349" i="69"/>
  <c r="O349" i="69"/>
  <c r="Q379" i="69"/>
  <c r="Q382" i="69"/>
  <c r="T382" i="69"/>
  <c r="R382" i="69"/>
  <c r="Q385" i="69"/>
  <c r="Q357" i="69"/>
  <c r="Q152" i="69"/>
  <c r="Q166" i="69"/>
  <c r="O172" i="69"/>
  <c r="N172" i="69"/>
  <c r="P172" i="69"/>
  <c r="Q172" i="69"/>
  <c r="O44" i="69"/>
  <c r="N44" i="69"/>
  <c r="P44" i="69"/>
  <c r="Q259" i="69"/>
  <c r="Q296" i="69"/>
  <c r="Q294" i="69"/>
  <c r="R70" i="69"/>
  <c r="U70" i="69"/>
  <c r="V70" i="69"/>
  <c r="V40" i="69"/>
  <c r="R40" i="69"/>
  <c r="U40" i="69"/>
  <c r="W40" i="69"/>
  <c r="U75" i="69"/>
  <c r="V75" i="69"/>
  <c r="R75" i="69"/>
  <c r="R55" i="69"/>
  <c r="U55" i="69"/>
  <c r="V55" i="69"/>
  <c r="Q310" i="69"/>
  <c r="T310" i="69"/>
  <c r="R310" i="69"/>
  <c r="Q273" i="69"/>
  <c r="Q206" i="69"/>
  <c r="T246" i="69"/>
  <c r="R246" i="69"/>
  <c r="AA246" i="69"/>
  <c r="T216" i="69"/>
  <c r="R216" i="69"/>
  <c r="S216" i="69"/>
  <c r="Q386" i="69"/>
  <c r="T386" i="69"/>
  <c r="R370" i="69"/>
  <c r="Q170" i="69"/>
  <c r="O69" i="69"/>
  <c r="N69" i="69"/>
  <c r="P69" i="69"/>
  <c r="X69" i="69"/>
  <c r="O19" i="69"/>
  <c r="N19" i="69"/>
  <c r="P19" i="69"/>
  <c r="N51" i="69"/>
  <c r="P51" i="69"/>
  <c r="O51" i="69"/>
  <c r="X36" i="69"/>
  <c r="P348" i="69"/>
  <c r="O348" i="69"/>
  <c r="N348" i="69"/>
  <c r="Q347" i="69"/>
  <c r="Q202" i="69"/>
  <c r="T21" i="69"/>
  <c r="Y21" i="69"/>
  <c r="T375" i="69"/>
  <c r="R375" i="69"/>
  <c r="AA375" i="69"/>
  <c r="Q147" i="69"/>
  <c r="P173" i="69"/>
  <c r="O173" i="69"/>
  <c r="N173" i="69"/>
  <c r="Q136" i="69"/>
  <c r="Q126" i="69"/>
  <c r="N58" i="69"/>
  <c r="O58" i="69"/>
  <c r="P58" i="69"/>
  <c r="Q58" i="69"/>
  <c r="P117" i="69"/>
  <c r="O117" i="69"/>
  <c r="N117" i="69"/>
  <c r="X117" i="69"/>
  <c r="X33" i="69"/>
  <c r="Q280" i="69"/>
  <c r="U32" i="69"/>
  <c r="W32" i="69"/>
  <c r="V32" i="69"/>
  <c r="R32" i="69"/>
  <c r="R66" i="69"/>
  <c r="U66" i="69"/>
  <c r="V66" i="69"/>
  <c r="R72" i="69"/>
  <c r="U72" i="69"/>
  <c r="V72" i="69"/>
  <c r="R60" i="69"/>
  <c r="U60" i="69"/>
  <c r="V60" i="69"/>
  <c r="N57" i="69"/>
  <c r="P57" i="69"/>
  <c r="O57" i="69"/>
  <c r="Y54" i="69"/>
  <c r="T54" i="69"/>
  <c r="O264" i="69"/>
  <c r="N264" i="69"/>
  <c r="P264" i="69"/>
  <c r="N56" i="69"/>
  <c r="P56" i="69"/>
  <c r="O56" i="69"/>
  <c r="Y45" i="69"/>
  <c r="T45" i="69"/>
  <c r="N31" i="69"/>
  <c r="P31" i="69"/>
  <c r="O31" i="69"/>
  <c r="T293" i="69"/>
  <c r="R293" i="69"/>
  <c r="T223" i="69"/>
  <c r="R223" i="69"/>
  <c r="S223" i="69"/>
  <c r="Y223" i="69"/>
  <c r="N99" i="69"/>
  <c r="O99" i="69"/>
  <c r="P99" i="69"/>
  <c r="X99" i="69"/>
  <c r="Y71" i="69"/>
  <c r="T71" i="69"/>
  <c r="N76" i="69"/>
  <c r="P76" i="69"/>
  <c r="O76" i="69"/>
  <c r="T262" i="69"/>
  <c r="R262" i="69"/>
  <c r="AA262" i="69"/>
  <c r="T253" i="69"/>
  <c r="R253" i="69"/>
  <c r="V25" i="69"/>
  <c r="R25" i="69"/>
  <c r="U25" i="69"/>
  <c r="W25" i="69"/>
  <c r="M24" i="67"/>
  <c r="N24" i="67"/>
  <c r="M15" i="68"/>
  <c r="N15" i="68"/>
  <c r="Q15" i="68"/>
  <c r="S15" i="68"/>
  <c r="M16" i="68"/>
  <c r="N16" i="68"/>
  <c r="Q16" i="68"/>
  <c r="S16" i="68"/>
  <c r="M22" i="68"/>
  <c r="N22" i="68"/>
  <c r="Q22" i="68"/>
  <c r="S22" i="68"/>
  <c r="M35" i="67"/>
  <c r="N35" i="67"/>
  <c r="Q35" i="67"/>
  <c r="S35" i="67"/>
  <c r="T23" i="67"/>
  <c r="P23" i="67"/>
  <c r="T27" i="67"/>
  <c r="P27" i="67"/>
  <c r="T13" i="68"/>
  <c r="P13" i="68"/>
  <c r="M29" i="67"/>
  <c r="P17" i="68"/>
  <c r="T17" i="68"/>
  <c r="P20" i="67"/>
  <c r="T20" i="67"/>
  <c r="M31" i="67"/>
  <c r="N31" i="67"/>
  <c r="M30" i="67"/>
  <c r="P21" i="67"/>
  <c r="T21" i="67"/>
  <c r="M34" i="67"/>
  <c r="N34" i="67"/>
  <c r="Q34" i="67"/>
  <c r="S34" i="67"/>
  <c r="M24" i="68"/>
  <c r="M28" i="67"/>
  <c r="N28" i="67"/>
  <c r="Q28" i="67"/>
  <c r="S28" i="67"/>
  <c r="M25" i="67"/>
  <c r="N25" i="67"/>
  <c r="Q25" i="67"/>
  <c r="S25" i="67"/>
  <c r="M19" i="68"/>
  <c r="N19" i="68"/>
  <c r="T20" i="68"/>
  <c r="P20" i="68"/>
  <c r="N12" i="68"/>
  <c r="Q12" i="68"/>
  <c r="S12" i="68"/>
  <c r="Q32" i="67"/>
  <c r="S32" i="67"/>
  <c r="Q11" i="68"/>
  <c r="S11" i="68"/>
  <c r="O33" i="67"/>
  <c r="X33" i="67"/>
  <c r="W33" i="67"/>
  <c r="V33" i="67"/>
  <c r="O26" i="67"/>
  <c r="X26" i="67"/>
  <c r="W26" i="67"/>
  <c r="V26" i="67"/>
  <c r="T19" i="67"/>
  <c r="P19" i="67"/>
  <c r="Q21" i="68"/>
  <c r="S21" i="68"/>
  <c r="M14" i="68"/>
  <c r="N14" i="68"/>
  <c r="Q14" i="68"/>
  <c r="S14" i="68"/>
  <c r="M22" i="67"/>
  <c r="M23" i="68"/>
  <c r="N23" i="68"/>
  <c r="Q23" i="68"/>
  <c r="S23" i="68"/>
  <c r="M18" i="67"/>
  <c r="M18" i="68"/>
  <c r="N18" i="68"/>
  <c r="Q18" i="68"/>
  <c r="S18" i="68"/>
  <c r="P17" i="67"/>
  <c r="T17" i="67"/>
  <c r="X56" i="69"/>
  <c r="R54" i="69"/>
  <c r="U54" i="69"/>
  <c r="V54" i="69"/>
  <c r="T126" i="69"/>
  <c r="R126" i="69"/>
  <c r="AA126" i="69"/>
  <c r="W21" i="69"/>
  <c r="R21" i="69"/>
  <c r="V21" i="69"/>
  <c r="U21" i="69"/>
  <c r="Q19" i="69"/>
  <c r="R386" i="69"/>
  <c r="Y386" i="69"/>
  <c r="T152" i="69"/>
  <c r="R152" i="69"/>
  <c r="X41" i="69"/>
  <c r="Y145" i="69"/>
  <c r="T145" i="69"/>
  <c r="R145" i="69"/>
  <c r="T373" i="69"/>
  <c r="R373" i="69"/>
  <c r="X42" i="69"/>
  <c r="Q22" i="69"/>
  <c r="T131" i="69"/>
  <c r="R131" i="69"/>
  <c r="T181" i="69"/>
  <c r="R181" i="69"/>
  <c r="U59" i="69"/>
  <c r="V59" i="69"/>
  <c r="R59" i="69"/>
  <c r="Q23" i="69"/>
  <c r="T135" i="69"/>
  <c r="R135" i="69"/>
  <c r="Y178" i="69"/>
  <c r="T178" i="69"/>
  <c r="R178" i="69"/>
  <c r="T237" i="69"/>
  <c r="R237" i="69"/>
  <c r="AA237" i="69"/>
  <c r="T302" i="69"/>
  <c r="R302" i="69"/>
  <c r="Y328" i="69"/>
  <c r="T328" i="69"/>
  <c r="R328" i="69"/>
  <c r="T74" i="69"/>
  <c r="U74" i="69"/>
  <c r="AA49" i="69"/>
  <c r="S49" i="69"/>
  <c r="Z49" i="69"/>
  <c r="T169" i="69"/>
  <c r="R169" i="69"/>
  <c r="AA169" i="69"/>
  <c r="R67" i="69"/>
  <c r="U67" i="69"/>
  <c r="V67" i="69"/>
  <c r="U71" i="69"/>
  <c r="V71" i="69"/>
  <c r="R71" i="69"/>
  <c r="AA60" i="69"/>
  <c r="S60" i="69"/>
  <c r="Z60" i="69"/>
  <c r="AA66" i="69"/>
  <c r="S66" i="69"/>
  <c r="Z66" i="69"/>
  <c r="Y294" i="69"/>
  <c r="T294" i="69"/>
  <c r="R294" i="69"/>
  <c r="T259" i="69"/>
  <c r="R259" i="69"/>
  <c r="T357" i="69"/>
  <c r="R357" i="69"/>
  <c r="T222" i="69"/>
  <c r="R222" i="69"/>
  <c r="X24" i="69"/>
  <c r="T352" i="69"/>
  <c r="R352" i="69"/>
  <c r="Y127" i="69"/>
  <c r="T127" i="69"/>
  <c r="R127" i="69"/>
  <c r="T252" i="69"/>
  <c r="R252" i="69"/>
  <c r="S252" i="69"/>
  <c r="Z252" i="69"/>
  <c r="T171" i="69"/>
  <c r="R171" i="69"/>
  <c r="AA171" i="69"/>
  <c r="T261" i="69"/>
  <c r="R261" i="69"/>
  <c r="T274" i="69"/>
  <c r="R274" i="69"/>
  <c r="Y274" i="69"/>
  <c r="X48" i="69"/>
  <c r="U62" i="69"/>
  <c r="R62" i="69"/>
  <c r="AA32" i="69"/>
  <c r="S32" i="69"/>
  <c r="Z32" i="69"/>
  <c r="S262" i="69"/>
  <c r="Z262" i="69"/>
  <c r="Q117" i="69"/>
  <c r="T117" i="69"/>
  <c r="R117" i="69"/>
  <c r="S117" i="69"/>
  <c r="T136" i="69"/>
  <c r="R136" i="69"/>
  <c r="Y136" i="69"/>
  <c r="Q173" i="69"/>
  <c r="T347" i="69"/>
  <c r="R347" i="69"/>
  <c r="Y347" i="69"/>
  <c r="AA55" i="69"/>
  <c r="S55" i="69"/>
  <c r="Z55" i="69"/>
  <c r="AA70" i="69"/>
  <c r="S70" i="69"/>
  <c r="Z70" i="69"/>
  <c r="T166" i="69"/>
  <c r="R166" i="69"/>
  <c r="S166" i="69"/>
  <c r="Z166" i="69"/>
  <c r="S375" i="69"/>
  <c r="T379" i="69"/>
  <c r="R379" i="69"/>
  <c r="T362" i="69"/>
  <c r="R362" i="69"/>
  <c r="AA362" i="69"/>
  <c r="U50" i="69"/>
  <c r="V50" i="69"/>
  <c r="R50" i="69"/>
  <c r="T288" i="69"/>
  <c r="R288" i="69"/>
  <c r="Y165" i="69"/>
  <c r="T165" i="69"/>
  <c r="R165" i="69"/>
  <c r="T358" i="69"/>
  <c r="R358" i="69"/>
  <c r="T220" i="69"/>
  <c r="R220" i="69"/>
  <c r="AA220" i="69"/>
  <c r="T285" i="69"/>
  <c r="R285" i="69"/>
  <c r="T245" i="69"/>
  <c r="R245" i="69"/>
  <c r="Y160" i="69"/>
  <c r="T160" i="69"/>
  <c r="R160" i="69"/>
  <c r="T213" i="69"/>
  <c r="R213" i="69"/>
  <c r="T207" i="69"/>
  <c r="R207" i="69"/>
  <c r="Y207" i="69"/>
  <c r="T334" i="69"/>
  <c r="R334" i="69"/>
  <c r="AA334" i="69"/>
  <c r="T128" i="69"/>
  <c r="R128" i="69"/>
  <c r="T239" i="69"/>
  <c r="R239" i="69"/>
  <c r="AA239" i="69"/>
  <c r="Q265" i="69"/>
  <c r="T265" i="69"/>
  <c r="R265" i="69"/>
  <c r="T303" i="69"/>
  <c r="R303" i="69"/>
  <c r="AA68" i="69"/>
  <c r="S68" i="69"/>
  <c r="Z68" i="69"/>
  <c r="U35" i="69"/>
  <c r="W35" i="69"/>
  <c r="V35" i="69"/>
  <c r="R35" i="69"/>
  <c r="AA35" i="69"/>
  <c r="AA25" i="69"/>
  <c r="S25" i="69"/>
  <c r="Z25" i="69"/>
  <c r="V45" i="69"/>
  <c r="R45" i="69"/>
  <c r="U45" i="69"/>
  <c r="AA72" i="69"/>
  <c r="S72" i="69"/>
  <c r="Z72" i="69"/>
  <c r="T280" i="69"/>
  <c r="R280" i="69"/>
  <c r="Y280" i="69"/>
  <c r="T147" i="69"/>
  <c r="R147" i="69"/>
  <c r="Y147" i="69"/>
  <c r="Z375" i="69"/>
  <c r="T202" i="69"/>
  <c r="R202" i="69"/>
  <c r="T170" i="69"/>
  <c r="R170" i="69"/>
  <c r="T206" i="69"/>
  <c r="R206" i="69"/>
  <c r="AA206" i="69"/>
  <c r="T273" i="69"/>
  <c r="R273" i="69"/>
  <c r="AA75" i="69"/>
  <c r="S75" i="69"/>
  <c r="Z75" i="69"/>
  <c r="AA40" i="69"/>
  <c r="S40" i="69"/>
  <c r="Z40" i="69"/>
  <c r="T296" i="69"/>
  <c r="R296" i="69"/>
  <c r="T385" i="69"/>
  <c r="R385" i="69"/>
  <c r="Q18" i="69"/>
  <c r="T125" i="69"/>
  <c r="R125" i="69"/>
  <c r="S246" i="69"/>
  <c r="Z246" i="69"/>
  <c r="T286" i="69"/>
  <c r="R286" i="69"/>
  <c r="T139" i="69"/>
  <c r="R139" i="69"/>
  <c r="T158" i="69"/>
  <c r="R158" i="69"/>
  <c r="S158" i="69"/>
  <c r="Y384" i="69"/>
  <c r="T384" i="69"/>
  <c r="R384" i="69"/>
  <c r="AA384" i="69"/>
  <c r="T387" i="69"/>
  <c r="R387" i="69"/>
  <c r="Y387" i="69"/>
  <c r="T168" i="69"/>
  <c r="R168" i="69"/>
  <c r="Y276" i="69"/>
  <c r="T276" i="69"/>
  <c r="R276" i="69"/>
  <c r="Y146" i="69"/>
  <c r="T146" i="69"/>
  <c r="R146" i="69"/>
  <c r="Y304" i="69"/>
  <c r="T304" i="69"/>
  <c r="R304" i="69"/>
  <c r="T338" i="69"/>
  <c r="R338" i="69"/>
  <c r="AA338" i="69"/>
  <c r="Q17" i="69"/>
  <c r="T163" i="69"/>
  <c r="R163" i="69"/>
  <c r="T314" i="69"/>
  <c r="R314" i="69"/>
  <c r="AA314" i="69"/>
  <c r="T34" i="67"/>
  <c r="P34" i="67"/>
  <c r="N18" i="67"/>
  <c r="Q18" i="67"/>
  <c r="S18" i="67"/>
  <c r="P23" i="68"/>
  <c r="T23" i="68"/>
  <c r="T14" i="68"/>
  <c r="P14" i="68"/>
  <c r="P15" i="68"/>
  <c r="T15" i="68"/>
  <c r="P18" i="68"/>
  <c r="T18" i="68"/>
  <c r="N22" i="67"/>
  <c r="Q22" i="67"/>
  <c r="S22" i="67"/>
  <c r="T35" i="67"/>
  <c r="P35" i="67"/>
  <c r="T16" i="68"/>
  <c r="P16" i="68"/>
  <c r="W17" i="67"/>
  <c r="V17" i="67"/>
  <c r="O17" i="67"/>
  <c r="X17" i="67"/>
  <c r="P21" i="68"/>
  <c r="T21" i="68"/>
  <c r="P11" i="68"/>
  <c r="T11" i="68"/>
  <c r="N24" i="68"/>
  <c r="Q24" i="68"/>
  <c r="S24" i="68"/>
  <c r="N30" i="67"/>
  <c r="Q30" i="67"/>
  <c r="S30" i="67"/>
  <c r="N29" i="67"/>
  <c r="Q29" i="67"/>
  <c r="S29" i="67"/>
  <c r="W19" i="67"/>
  <c r="V19" i="67"/>
  <c r="X19" i="67"/>
  <c r="O19" i="67"/>
  <c r="T32" i="67"/>
  <c r="P32" i="67"/>
  <c r="T25" i="67"/>
  <c r="P25" i="67"/>
  <c r="P28" i="67"/>
  <c r="T28" i="67"/>
  <c r="V21" i="67"/>
  <c r="O21" i="67"/>
  <c r="X21" i="67"/>
  <c r="W21" i="67"/>
  <c r="V20" i="67"/>
  <c r="O20" i="67"/>
  <c r="X20" i="67"/>
  <c r="W20" i="67"/>
  <c r="O27" i="67"/>
  <c r="X27" i="67"/>
  <c r="W27" i="67"/>
  <c r="V27" i="67"/>
  <c r="P22" i="68"/>
  <c r="T22" i="68"/>
  <c r="T12" i="68"/>
  <c r="P12" i="68"/>
  <c r="Q19" i="68"/>
  <c r="S19" i="68"/>
  <c r="Q31" i="67"/>
  <c r="S31" i="67"/>
  <c r="Q24" i="67"/>
  <c r="S24" i="67"/>
  <c r="O20" i="68"/>
  <c r="W20" i="68"/>
  <c r="V20" i="68"/>
  <c r="U20" i="68"/>
  <c r="W17" i="68"/>
  <c r="V17" i="68"/>
  <c r="U17" i="68"/>
  <c r="O17" i="68"/>
  <c r="W13" i="68"/>
  <c r="O13" i="68"/>
  <c r="U13" i="68"/>
  <c r="V13" i="68"/>
  <c r="O23" i="67"/>
  <c r="X23" i="67"/>
  <c r="W23" i="67"/>
  <c r="V23" i="67"/>
  <c r="S171" i="69"/>
  <c r="AA67" i="69"/>
  <c r="S67" i="69"/>
  <c r="Z67" i="69"/>
  <c r="AA178" i="69"/>
  <c r="S178" i="69"/>
  <c r="AA131" i="69"/>
  <c r="S131" i="69"/>
  <c r="Z131" i="69"/>
  <c r="T18" i="69"/>
  <c r="V18" i="69"/>
  <c r="V109" i="69"/>
  <c r="Y18" i="69"/>
  <c r="AA302" i="69"/>
  <c r="S302" i="69"/>
  <c r="T23" i="69"/>
  <c r="W23" i="69"/>
  <c r="Y23" i="69"/>
  <c r="T19" i="69"/>
  <c r="V19" i="69"/>
  <c r="AA21" i="69"/>
  <c r="S21" i="69"/>
  <c r="Z21" i="69"/>
  <c r="S126" i="69"/>
  <c r="Z126" i="69"/>
  <c r="AA71" i="69"/>
  <c r="S71" i="69"/>
  <c r="Z71" i="69"/>
  <c r="AA59" i="69"/>
  <c r="S59" i="69"/>
  <c r="Z59" i="69"/>
  <c r="T22" i="69"/>
  <c r="R22" i="69"/>
  <c r="AA22" i="69"/>
  <c r="AA382" i="69"/>
  <c r="S382" i="69"/>
  <c r="Z382" i="69"/>
  <c r="AA386" i="69"/>
  <c r="S386" i="69"/>
  <c r="Z386" i="69"/>
  <c r="AA45" i="69"/>
  <c r="S45" i="69"/>
  <c r="Z45" i="69"/>
  <c r="AA50" i="69"/>
  <c r="S50" i="69"/>
  <c r="Z50" i="69"/>
  <c r="T173" i="69"/>
  <c r="R173" i="69"/>
  <c r="S173" i="69"/>
  <c r="AA62" i="69"/>
  <c r="S62" i="69"/>
  <c r="Z62" i="69"/>
  <c r="AA294" i="69"/>
  <c r="S294" i="69"/>
  <c r="Z294" i="69"/>
  <c r="AA310" i="69"/>
  <c r="S310" i="69"/>
  <c r="Z310" i="69"/>
  <c r="Z302" i="69"/>
  <c r="T172" i="69"/>
  <c r="R172" i="69"/>
  <c r="AA54" i="69"/>
  <c r="S54" i="69"/>
  <c r="Z54" i="69"/>
  <c r="T30" i="67"/>
  <c r="P30" i="67"/>
  <c r="P24" i="68"/>
  <c r="T24" i="68"/>
  <c r="P29" i="67"/>
  <c r="T29" i="67"/>
  <c r="T31" i="67"/>
  <c r="P31" i="67"/>
  <c r="O25" i="67"/>
  <c r="X25" i="67"/>
  <c r="W25" i="67"/>
  <c r="V25" i="67"/>
  <c r="U11" i="68"/>
  <c r="W11" i="68"/>
  <c r="V11" i="68"/>
  <c r="O11" i="68"/>
  <c r="V14" i="68"/>
  <c r="U14" i="68"/>
  <c r="O14" i="68"/>
  <c r="W14" i="68"/>
  <c r="P19" i="68"/>
  <c r="T19" i="68"/>
  <c r="W22" i="68"/>
  <c r="V22" i="68"/>
  <c r="U22" i="68"/>
  <c r="O22" i="68"/>
  <c r="W16" i="68"/>
  <c r="O16" i="68"/>
  <c r="V16" i="68"/>
  <c r="U16" i="68"/>
  <c r="T22" i="67"/>
  <c r="P22" i="67"/>
  <c r="V15" i="68"/>
  <c r="U15" i="68"/>
  <c r="O15" i="68"/>
  <c r="W15" i="68"/>
  <c r="P18" i="67"/>
  <c r="T18" i="67"/>
  <c r="O12" i="68"/>
  <c r="V12" i="68"/>
  <c r="U12" i="68"/>
  <c r="W12" i="68"/>
  <c r="O32" i="67"/>
  <c r="X32" i="67"/>
  <c r="W32" i="67"/>
  <c r="V32" i="67"/>
  <c r="W21" i="68"/>
  <c r="V21" i="68"/>
  <c r="U21" i="68"/>
  <c r="O21" i="68"/>
  <c r="O34" i="67"/>
  <c r="X34" i="67"/>
  <c r="W34" i="67"/>
  <c r="V34" i="67"/>
  <c r="T24" i="67"/>
  <c r="P24" i="67"/>
  <c r="W28" i="67"/>
  <c r="X28" i="67"/>
  <c r="V28" i="67"/>
  <c r="O28" i="67"/>
  <c r="O35" i="67"/>
  <c r="X35" i="67"/>
  <c r="W35" i="67"/>
  <c r="V35" i="67"/>
  <c r="V18" i="68"/>
  <c r="U18" i="68"/>
  <c r="O18" i="68"/>
  <c r="W18" i="68"/>
  <c r="W23" i="68"/>
  <c r="V23" i="68"/>
  <c r="U23" i="68"/>
  <c r="O23" i="68"/>
  <c r="W19" i="69"/>
  <c r="U23" i="69"/>
  <c r="R23" i="69"/>
  <c r="V74" i="69"/>
  <c r="W18" i="69"/>
  <c r="R18" i="69"/>
  <c r="AA18" i="69"/>
  <c r="O24" i="67"/>
  <c r="X24" i="67"/>
  <c r="W24" i="67"/>
  <c r="V24" i="67"/>
  <c r="X22" i="67"/>
  <c r="O22" i="67"/>
  <c r="W22" i="67"/>
  <c r="V22" i="67"/>
  <c r="X31" i="67"/>
  <c r="W31" i="67"/>
  <c r="V31" i="67"/>
  <c r="O31" i="67"/>
  <c r="W24" i="68"/>
  <c r="V24" i="68"/>
  <c r="U24" i="68"/>
  <c r="O24" i="68"/>
  <c r="X30" i="67"/>
  <c r="W30" i="67"/>
  <c r="V30" i="67"/>
  <c r="O30" i="67"/>
  <c r="W18" i="67"/>
  <c r="V18" i="67"/>
  <c r="O18" i="67"/>
  <c r="X18" i="67"/>
  <c r="U19" i="68"/>
  <c r="O19" i="68"/>
  <c r="W19" i="68"/>
  <c r="V19" i="68"/>
  <c r="W29" i="67"/>
  <c r="X29" i="67"/>
  <c r="V29" i="67"/>
  <c r="O29" i="67"/>
  <c r="AA23" i="69"/>
  <c r="X32" i="66"/>
  <c r="G21" i="66"/>
  <c r="AB21" i="66"/>
  <c r="G19" i="66"/>
  <c r="AB19" i="66"/>
  <c r="G15" i="66"/>
  <c r="G17" i="66"/>
  <c r="AB17" i="66"/>
  <c r="G24" i="66"/>
  <c r="AB24" i="66"/>
  <c r="G20" i="66"/>
  <c r="G22" i="66"/>
  <c r="G16" i="66"/>
  <c r="AB16" i="66"/>
  <c r="G27" i="66"/>
  <c r="AB27" i="66"/>
  <c r="G18" i="66"/>
  <c r="AB18" i="66"/>
  <c r="G23" i="66"/>
  <c r="O31" i="10"/>
  <c r="F17" i="66"/>
  <c r="R17" i="66"/>
  <c r="F28" i="66"/>
  <c r="H28" i="66"/>
  <c r="F16" i="66"/>
  <c r="F19" i="66"/>
  <c r="Z24" i="10"/>
  <c r="AD28" i="66"/>
  <c r="AB23" i="66"/>
  <c r="H23" i="66"/>
  <c r="G37" i="66"/>
  <c r="G36" i="66"/>
  <c r="AB15" i="66"/>
  <c r="L23" i="66"/>
  <c r="M23" i="66"/>
  <c r="H17" i="66"/>
  <c r="G25" i="66"/>
  <c r="G26" i="66"/>
  <c r="H16" i="66"/>
  <c r="I16" i="66"/>
  <c r="H27" i="66"/>
  <c r="K27" i="66"/>
  <c r="H22" i="66"/>
  <c r="AB22" i="66"/>
  <c r="H21" i="66"/>
  <c r="H19" i="66"/>
  <c r="F24" i="10"/>
  <c r="H24" i="10"/>
  <c r="W18" i="10"/>
  <c r="H18" i="10"/>
  <c r="F16" i="10"/>
  <c r="F19" i="10"/>
  <c r="R18" i="10"/>
  <c r="R30" i="10"/>
  <c r="R33" i="10"/>
  <c r="F18" i="66"/>
  <c r="H18" i="66"/>
  <c r="W21" i="10"/>
  <c r="I23" i="66"/>
  <c r="J23" i="66"/>
  <c r="K23" i="66"/>
  <c r="AC25" i="66"/>
  <c r="AC18" i="66"/>
  <c r="AC23" i="66"/>
  <c r="AC26" i="66"/>
  <c r="AC27" i="66"/>
  <c r="AC22" i="66"/>
  <c r="AC15" i="66"/>
  <c r="AC20" i="66"/>
  <c r="AC17" i="66"/>
  <c r="AC19" i="66"/>
  <c r="AC21" i="66"/>
  <c r="AC16" i="66"/>
  <c r="AB36" i="66"/>
  <c r="AC24" i="66"/>
  <c r="L16" i="66"/>
  <c r="K16" i="66"/>
  <c r="H26" i="66"/>
  <c r="AB26" i="66"/>
  <c r="AB25" i="66"/>
  <c r="H25" i="66"/>
  <c r="L25" i="66"/>
  <c r="I19" i="66"/>
  <c r="J19" i="66"/>
  <c r="L19" i="66"/>
  <c r="M19" i="66"/>
  <c r="N19" i="66"/>
  <c r="Q19" i="66"/>
  <c r="S19" i="66"/>
  <c r="K19" i="66"/>
  <c r="L22" i="66"/>
  <c r="K22" i="66"/>
  <c r="J22" i="66"/>
  <c r="I22" i="66"/>
  <c r="Z17" i="10"/>
  <c r="F24" i="66"/>
  <c r="F22" i="10"/>
  <c r="H22" i="10"/>
  <c r="W16" i="10"/>
  <c r="F17" i="10"/>
  <c r="F20" i="10"/>
  <c r="H16" i="10"/>
  <c r="I16" i="10"/>
  <c r="F26" i="10"/>
  <c r="Z19" i="10"/>
  <c r="H19" i="10"/>
  <c r="W19" i="10"/>
  <c r="I25" i="66"/>
  <c r="I26" i="66"/>
  <c r="K26" i="66"/>
  <c r="J26" i="66"/>
  <c r="L26" i="66"/>
  <c r="M26" i="66"/>
  <c r="N26" i="66"/>
  <c r="M22" i="66"/>
  <c r="N22" i="66"/>
  <c r="Q22" i="66"/>
  <c r="S22" i="66"/>
  <c r="P22" i="66"/>
  <c r="X22" i="66"/>
  <c r="Z18" i="10"/>
  <c r="Z22" i="10"/>
  <c r="Z26" i="10"/>
  <c r="Z16" i="10"/>
  <c r="J19" i="10"/>
  <c r="K19" i="10"/>
  <c r="I19" i="10"/>
  <c r="L19" i="10"/>
  <c r="Z21" i="10"/>
  <c r="W20" i="10"/>
  <c r="H20" i="10"/>
  <c r="L20" i="10"/>
  <c r="M20" i="10"/>
  <c r="N20" i="10"/>
  <c r="Q20" i="10"/>
  <c r="S20" i="10"/>
  <c r="F25" i="10"/>
  <c r="H17" i="10"/>
  <c r="I17" i="10"/>
  <c r="W17" i="10"/>
  <c r="H26" i="10"/>
  <c r="J26" i="10"/>
  <c r="W26" i="10"/>
  <c r="R24" i="66"/>
  <c r="H24" i="66"/>
  <c r="K24" i="66"/>
  <c r="D11" i="54"/>
  <c r="E11" i="54"/>
  <c r="D11" i="57"/>
  <c r="D18" i="57"/>
  <c r="D18" i="54"/>
  <c r="E18" i="54"/>
  <c r="D10" i="54"/>
  <c r="E10" i="54"/>
  <c r="D10" i="57"/>
  <c r="E10" i="57"/>
  <c r="D20" i="54"/>
  <c r="D20" i="57"/>
  <c r="E20" i="57"/>
  <c r="D14" i="57"/>
  <c r="E14" i="57"/>
  <c r="D14" i="54"/>
  <c r="E14" i="54"/>
  <c r="D13" i="54"/>
  <c r="E13" i="54"/>
  <c r="D13" i="57"/>
  <c r="E13" i="57"/>
  <c r="Z23" i="10"/>
  <c r="J20" i="10"/>
  <c r="K20" i="10"/>
  <c r="I20" i="10"/>
  <c r="I24" i="66"/>
  <c r="W25" i="10"/>
  <c r="H25" i="10"/>
  <c r="I25" i="10"/>
  <c r="K22" i="10"/>
  <c r="D19" i="57"/>
  <c r="E19" i="57"/>
  <c r="D19" i="54"/>
  <c r="E19" i="54"/>
  <c r="D9" i="54"/>
  <c r="D9" i="57"/>
  <c r="E9" i="57"/>
  <c r="D21" i="57"/>
  <c r="E21" i="57"/>
  <c r="D21" i="54"/>
  <c r="E21" i="54"/>
  <c r="D12" i="54"/>
  <c r="E12" i="54"/>
  <c r="D12" i="57"/>
  <c r="E12" i="57"/>
  <c r="D8" i="57"/>
  <c r="E8" i="57"/>
  <c r="D8" i="54"/>
  <c r="E8" i="54"/>
  <c r="D15" i="57"/>
  <c r="D15" i="54"/>
  <c r="E15" i="54"/>
  <c r="D7" i="57"/>
  <c r="E7" i="57"/>
  <c r="D7" i="54"/>
  <c r="E7" i="54"/>
  <c r="F11" i="32"/>
  <c r="F11" i="41"/>
  <c r="H11" i="41"/>
  <c r="F17" i="32"/>
  <c r="F15" i="32"/>
  <c r="K25" i="10"/>
  <c r="F12" i="32"/>
  <c r="F12" i="36"/>
  <c r="H12" i="36"/>
  <c r="I12" i="36"/>
  <c r="F13" i="32"/>
  <c r="F11" i="40"/>
  <c r="H11" i="40"/>
  <c r="F11" i="38"/>
  <c r="H11" i="38"/>
  <c r="F11" i="43"/>
  <c r="H11" i="43"/>
  <c r="H21" i="43"/>
  <c r="F11" i="33"/>
  <c r="H11" i="33"/>
  <c r="I11" i="33"/>
  <c r="F11" i="45"/>
  <c r="H11" i="45"/>
  <c r="H21" i="45"/>
  <c r="F11" i="42"/>
  <c r="H11" i="42"/>
  <c r="F11" i="35"/>
  <c r="H11" i="35"/>
  <c r="H21" i="35"/>
  <c r="I21" i="35"/>
  <c r="F11" i="36"/>
  <c r="H11" i="36"/>
  <c r="H11" i="32"/>
  <c r="H21" i="32"/>
  <c r="F14" i="32"/>
  <c r="F12" i="35"/>
  <c r="H12" i="35"/>
  <c r="I12" i="35"/>
  <c r="F12" i="45"/>
  <c r="H12" i="45"/>
  <c r="I12" i="45"/>
  <c r="F12" i="37"/>
  <c r="H12" i="37"/>
  <c r="I12" i="37"/>
  <c r="F12" i="46"/>
  <c r="H12" i="46"/>
  <c r="I12" i="46"/>
  <c r="H12" i="32"/>
  <c r="I12" i="32"/>
  <c r="F12" i="33"/>
  <c r="H12" i="33"/>
  <c r="I12" i="33"/>
  <c r="F12" i="42"/>
  <c r="H12" i="42"/>
  <c r="I12" i="42"/>
  <c r="F12" i="41"/>
  <c r="H12" i="41"/>
  <c r="I12" i="41"/>
  <c r="F12" i="43"/>
  <c r="H12" i="43"/>
  <c r="I12" i="43"/>
  <c r="F12" i="39"/>
  <c r="H12" i="39"/>
  <c r="I12" i="39"/>
  <c r="F12" i="40"/>
  <c r="H12" i="40"/>
  <c r="I12" i="40"/>
  <c r="F12" i="34"/>
  <c r="H12" i="34"/>
  <c r="I12" i="34"/>
  <c r="F12" i="38"/>
  <c r="H12" i="38"/>
  <c r="I12" i="38"/>
  <c r="F12" i="44"/>
  <c r="H12" i="44"/>
  <c r="I12" i="44"/>
  <c r="F15" i="45"/>
  <c r="H15" i="45"/>
  <c r="I15" i="45"/>
  <c r="F15" i="39"/>
  <c r="F15" i="35"/>
  <c r="H15" i="35"/>
  <c r="I15" i="35"/>
  <c r="F15" i="46"/>
  <c r="H15" i="46"/>
  <c r="I15" i="46"/>
  <c r="F15" i="34"/>
  <c r="H15" i="34"/>
  <c r="I15" i="34"/>
  <c r="F15" i="40"/>
  <c r="F15" i="44"/>
  <c r="H15" i="44"/>
  <c r="I15" i="44"/>
  <c r="F15" i="36"/>
  <c r="H15" i="36"/>
  <c r="I15" i="36"/>
  <c r="F15" i="42"/>
  <c r="F15" i="38"/>
  <c r="F15" i="33"/>
  <c r="F15" i="43"/>
  <c r="H15" i="43"/>
  <c r="I15" i="43"/>
  <c r="F15" i="37"/>
  <c r="F15" i="41"/>
  <c r="I11" i="32"/>
  <c r="F18" i="32"/>
  <c r="F17" i="39"/>
  <c r="H17" i="39"/>
  <c r="I17" i="39"/>
  <c r="F17" i="41"/>
  <c r="H17" i="41"/>
  <c r="I17" i="41"/>
  <c r="F17" i="44"/>
  <c r="F16" i="32"/>
  <c r="F16" i="34"/>
  <c r="F13" i="39"/>
  <c r="H13" i="39"/>
  <c r="I13" i="39"/>
  <c r="F13" i="42"/>
  <c r="H13" i="42"/>
  <c r="I13" i="42"/>
  <c r="F13" i="34"/>
  <c r="H13" i="34"/>
  <c r="I13" i="34"/>
  <c r="F13" i="37"/>
  <c r="H13" i="37"/>
  <c r="I13" i="37"/>
  <c r="F13" i="45"/>
  <c r="H13" i="45"/>
  <c r="I13" i="45"/>
  <c r="F13" i="44"/>
  <c r="H13" i="44"/>
  <c r="I13" i="44"/>
  <c r="F13" i="43"/>
  <c r="H13" i="43"/>
  <c r="I13" i="43"/>
  <c r="F13" i="41"/>
  <c r="H13" i="41"/>
  <c r="I13" i="41"/>
  <c r="F13" i="46"/>
  <c r="H13" i="46"/>
  <c r="I13" i="46"/>
  <c r="F13" i="35"/>
  <c r="H13" i="35"/>
  <c r="I13" i="35"/>
  <c r="F13" i="40"/>
  <c r="H13" i="40"/>
  <c r="I13" i="40"/>
  <c r="F13" i="36"/>
  <c r="H13" i="36"/>
  <c r="I13" i="36"/>
  <c r="F13" i="38"/>
  <c r="H13" i="38"/>
  <c r="I13" i="38"/>
  <c r="H13" i="32"/>
  <c r="I13" i="32"/>
  <c r="F13" i="33"/>
  <c r="H13" i="33"/>
  <c r="I13" i="33"/>
  <c r="F19" i="32"/>
  <c r="F19" i="37"/>
  <c r="H19" i="37"/>
  <c r="I19" i="37"/>
  <c r="H18" i="32"/>
  <c r="I18" i="32"/>
  <c r="F18" i="33"/>
  <c r="H18" i="33"/>
  <c r="I18" i="33"/>
  <c r="F18" i="46"/>
  <c r="H18" i="46"/>
  <c r="I18" i="46"/>
  <c r="F18" i="44"/>
  <c r="H18" i="44"/>
  <c r="I18" i="44"/>
  <c r="F18" i="36"/>
  <c r="H18" i="36"/>
  <c r="I18" i="36"/>
  <c r="F18" i="34"/>
  <c r="H18" i="34"/>
  <c r="I18" i="34"/>
  <c r="F18" i="35"/>
  <c r="H18" i="35"/>
  <c r="I18" i="35"/>
  <c r="F18" i="38"/>
  <c r="H18" i="38"/>
  <c r="I18" i="38"/>
  <c r="F18" i="40"/>
  <c r="H18" i="40"/>
  <c r="I18" i="40"/>
  <c r="F18" i="39"/>
  <c r="H18" i="39"/>
  <c r="I18" i="39"/>
  <c r="F18" i="45"/>
  <c r="H18" i="45"/>
  <c r="I18" i="45"/>
  <c r="F18" i="37"/>
  <c r="H18" i="37"/>
  <c r="I18" i="37"/>
  <c r="F18" i="41"/>
  <c r="H18" i="41"/>
  <c r="I18" i="41"/>
  <c r="F18" i="43"/>
  <c r="H18" i="43"/>
  <c r="I18" i="43"/>
  <c r="F18" i="42"/>
  <c r="H18" i="42"/>
  <c r="I18" i="42"/>
  <c r="F14" i="38"/>
  <c r="F14" i="35"/>
  <c r="H14" i="35"/>
  <c r="I14" i="35"/>
  <c r="F14" i="39"/>
  <c r="Z25" i="10"/>
  <c r="F19" i="43"/>
  <c r="H19" i="43"/>
  <c r="I19" i="43"/>
  <c r="F19" i="38"/>
  <c r="H19" i="38"/>
  <c r="I19" i="38"/>
  <c r="F19" i="39"/>
  <c r="H19" i="39"/>
  <c r="I19" i="39"/>
  <c r="F19" i="46"/>
  <c r="H19" i="46"/>
  <c r="I19" i="46"/>
  <c r="F19" i="42"/>
  <c r="H19" i="42"/>
  <c r="I19" i="42"/>
  <c r="F19" i="34"/>
  <c r="H19" i="34"/>
  <c r="I19" i="34"/>
  <c r="F19" i="35"/>
  <c r="H19" i="35"/>
  <c r="I19" i="35"/>
  <c r="F19" i="36"/>
  <c r="H19" i="36"/>
  <c r="I19" i="36"/>
  <c r="F19" i="44"/>
  <c r="H19" i="44"/>
  <c r="I19" i="44"/>
  <c r="F19" i="45"/>
  <c r="H19" i="45"/>
  <c r="I19" i="45"/>
  <c r="F19" i="41"/>
  <c r="H19" i="41"/>
  <c r="I19" i="41"/>
  <c r="F19" i="33"/>
  <c r="H19" i="33"/>
  <c r="I19" i="33"/>
  <c r="F19" i="40"/>
  <c r="H19" i="40"/>
  <c r="I19" i="40"/>
  <c r="H19" i="32"/>
  <c r="I19" i="32"/>
  <c r="R21" i="10"/>
  <c r="J25" i="10"/>
  <c r="L17" i="10"/>
  <c r="J24" i="66"/>
  <c r="K33" i="66"/>
  <c r="H15" i="66"/>
  <c r="K15" i="66"/>
  <c r="J16" i="66"/>
  <c r="F14" i="44"/>
  <c r="H14" i="32"/>
  <c r="I14" i="32"/>
  <c r="F14" i="43"/>
  <c r="H14" i="43"/>
  <c r="I14" i="43"/>
  <c r="F14" i="41"/>
  <c r="F14" i="36"/>
  <c r="F14" i="42"/>
  <c r="H14" i="42"/>
  <c r="I14" i="42"/>
  <c r="F14" i="33"/>
  <c r="H14" i="33"/>
  <c r="I14" i="33"/>
  <c r="F14" i="37"/>
  <c r="F14" i="34"/>
  <c r="F14" i="40"/>
  <c r="F16" i="36"/>
  <c r="I11" i="43"/>
  <c r="F14" i="46"/>
  <c r="F14" i="45"/>
  <c r="H14" i="45"/>
  <c r="I14" i="45"/>
  <c r="L24" i="10"/>
  <c r="M24" i="10"/>
  <c r="W27" i="10"/>
  <c r="H27" i="10"/>
  <c r="I27" i="10"/>
  <c r="I15" i="66"/>
  <c r="K29" i="66"/>
  <c r="J29" i="66"/>
  <c r="L29" i="66"/>
  <c r="M29" i="66"/>
  <c r="N29" i="66"/>
  <c r="I29" i="66"/>
  <c r="L32" i="66"/>
  <c r="M32" i="66"/>
  <c r="J32" i="66"/>
  <c r="I32" i="66"/>
  <c r="K32" i="66"/>
  <c r="F28" i="10"/>
  <c r="H28" i="10"/>
  <c r="N23" i="66"/>
  <c r="F23" i="10"/>
  <c r="H23" i="10"/>
  <c r="K23" i="10"/>
  <c r="H21" i="10"/>
  <c r="J27" i="10"/>
  <c r="F29" i="43"/>
  <c r="J32" i="18"/>
  <c r="I21" i="43"/>
  <c r="I11" i="35"/>
  <c r="W23" i="10"/>
  <c r="H21" i="40"/>
  <c r="F29" i="40"/>
  <c r="I11" i="40"/>
  <c r="H21" i="42"/>
  <c r="I11" i="42"/>
  <c r="L28" i="10"/>
  <c r="L25" i="10"/>
  <c r="M25" i="10"/>
  <c r="K17" i="10"/>
  <c r="J17" i="10"/>
  <c r="T22" i="66"/>
  <c r="I11" i="45"/>
  <c r="Q26" i="66"/>
  <c r="S26" i="66"/>
  <c r="P26" i="66"/>
  <c r="O26" i="66"/>
  <c r="L18" i="66"/>
  <c r="M18" i="66"/>
  <c r="N18" i="66"/>
  <c r="K18" i="66"/>
  <c r="J18" i="66"/>
  <c r="I18" i="66"/>
  <c r="K28" i="10"/>
  <c r="V22" i="66"/>
  <c r="N24" i="10"/>
  <c r="Q24" i="10"/>
  <c r="S24" i="10"/>
  <c r="F29" i="35"/>
  <c r="J22" i="18"/>
  <c r="H21" i="33"/>
  <c r="F29" i="33"/>
  <c r="J20" i="18"/>
  <c r="M20" i="18"/>
  <c r="I21" i="40"/>
  <c r="J27" i="18"/>
  <c r="I27" i="18"/>
  <c r="O22" i="66"/>
  <c r="I21" i="33"/>
  <c r="S22" i="69"/>
  <c r="Z22" i="69"/>
  <c r="AA276" i="69"/>
  <c r="S314" i="69"/>
  <c r="S125" i="69"/>
  <c r="AA125" i="69"/>
  <c r="AA173" i="69"/>
  <c r="Z173" i="69"/>
  <c r="S23" i="69"/>
  <c r="Z23" i="69"/>
  <c r="V22" i="69"/>
  <c r="V23" i="69"/>
  <c r="S35" i="69"/>
  <c r="Z35" i="69"/>
  <c r="S237" i="69"/>
  <c r="Z237" i="69"/>
  <c r="S334" i="69"/>
  <c r="Z334" i="69"/>
  <c r="S384" i="69"/>
  <c r="Z178" i="69"/>
  <c r="S373" i="69"/>
  <c r="Z171" i="69"/>
  <c r="S239" i="69"/>
  <c r="Z239" i="69"/>
  <c r="T17" i="69"/>
  <c r="V17" i="69"/>
  <c r="AA166" i="69"/>
  <c r="AA158" i="69"/>
  <c r="S220" i="69"/>
  <c r="Z220" i="69"/>
  <c r="X58" i="69"/>
  <c r="Q76" i="69"/>
  <c r="T76" i="69"/>
  <c r="R76" i="69"/>
  <c r="AA76" i="69"/>
  <c r="Q99" i="69"/>
  <c r="AA223" i="69"/>
  <c r="S293" i="69"/>
  <c r="Z293" i="69"/>
  <c r="AA293" i="69"/>
  <c r="X19" i="69"/>
  <c r="Y19" i="69"/>
  <c r="X31" i="69"/>
  <c r="Q57" i="69"/>
  <c r="T57" i="69"/>
  <c r="T34" i="69"/>
  <c r="W34" i="69"/>
  <c r="Q264" i="69"/>
  <c r="T264" i="69"/>
  <c r="R264" i="69"/>
  <c r="X264" i="69"/>
  <c r="T361" i="69"/>
  <c r="R361" i="69"/>
  <c r="P43" i="69"/>
  <c r="Q142" i="69"/>
  <c r="X388" i="69"/>
  <c r="Q351" i="69"/>
  <c r="Q153" i="69"/>
  <c r="T153" i="69"/>
  <c r="R153" i="69"/>
  <c r="S153" i="69"/>
  <c r="Q133" i="69"/>
  <c r="T133" i="69"/>
  <c r="R133" i="69"/>
  <c r="AA133" i="69"/>
  <c r="Q129" i="69"/>
  <c r="X299" i="69"/>
  <c r="Q299" i="69"/>
  <c r="X222" i="69"/>
  <c r="Y222" i="69"/>
  <c r="X194" i="69"/>
  <c r="AA216" i="69"/>
  <c r="Z216" i="69"/>
  <c r="Q167" i="69"/>
  <c r="T167" i="69"/>
  <c r="R167" i="69"/>
  <c r="AA167" i="69"/>
  <c r="Q327" i="69"/>
  <c r="Y327" i="69"/>
  <c r="Q247" i="69"/>
  <c r="Q38" i="69"/>
  <c r="X373" i="69"/>
  <c r="Y373" i="69"/>
  <c r="Q363" i="69"/>
  <c r="X144" i="69"/>
  <c r="Q144" i="69"/>
  <c r="T144" i="69"/>
  <c r="R144" i="69"/>
  <c r="X143" i="69"/>
  <c r="Q143" i="69"/>
  <c r="X123" i="69"/>
  <c r="X338" i="69"/>
  <c r="Y338" i="69"/>
  <c r="Q342" i="69"/>
  <c r="T342" i="69"/>
  <c r="R342" i="69"/>
  <c r="X237" i="69"/>
  <c r="Y237" i="69"/>
  <c r="X213" i="69"/>
  <c r="Y213" i="69"/>
  <c r="Q30" i="69"/>
  <c r="X30" i="69"/>
  <c r="Q16" i="69"/>
  <c r="X255" i="69"/>
  <c r="X358" i="69"/>
  <c r="Y358" i="69"/>
  <c r="X134" i="69"/>
  <c r="Q134" i="69"/>
  <c r="Y134" i="69"/>
  <c r="O64" i="69"/>
  <c r="X64" i="69"/>
  <c r="X247" i="69"/>
  <c r="Q320" i="69"/>
  <c r="T320" i="69"/>
  <c r="R320" i="69"/>
  <c r="AA320" i="69"/>
  <c r="Q184" i="69"/>
  <c r="Y184" i="69"/>
  <c r="Q194" i="69"/>
  <c r="Q389" i="69"/>
  <c r="O209" i="69"/>
  <c r="P228" i="69"/>
  <c r="O196" i="69"/>
  <c r="Q196" i="69"/>
  <c r="N187" i="69"/>
  <c r="O46" i="69"/>
  <c r="X46" i="69"/>
  <c r="Q46" i="69"/>
  <c r="Y46" i="69"/>
  <c r="O37" i="69"/>
  <c r="X37" i="69"/>
  <c r="N65" i="69"/>
  <c r="P344" i="69"/>
  <c r="X344" i="69"/>
  <c r="Q344" i="69"/>
  <c r="Y344" i="69"/>
  <c r="O205" i="69"/>
  <c r="O177" i="69"/>
  <c r="N177" i="69"/>
  <c r="N186" i="69"/>
  <c r="P176" i="69"/>
  <c r="O176" i="69"/>
  <c r="Q176" i="69"/>
  <c r="O208" i="69"/>
  <c r="P208" i="69"/>
  <c r="N242" i="69"/>
  <c r="P221" i="69"/>
  <c r="X221" i="69"/>
  <c r="O331" i="69"/>
  <c r="X331" i="69"/>
  <c r="X191" i="69"/>
  <c r="Q383" i="69"/>
  <c r="T383" i="69"/>
  <c r="R383" i="69"/>
  <c r="X370" i="69"/>
  <c r="Q380" i="69"/>
  <c r="Q212" i="69"/>
  <c r="X364" i="69"/>
  <c r="Q301" i="69"/>
  <c r="Q291" i="69"/>
  <c r="T291" i="69"/>
  <c r="R291" i="69"/>
  <c r="X120" i="69"/>
  <c r="X262" i="69"/>
  <c r="Y262" i="69"/>
  <c r="O193" i="69"/>
  <c r="N193" i="69"/>
  <c r="P183" i="69"/>
  <c r="O183" i="69"/>
  <c r="Q183" i="69"/>
  <c r="P192" i="69"/>
  <c r="O192" i="69"/>
  <c r="P205" i="69"/>
  <c r="X205" i="69"/>
  <c r="O20" i="69"/>
  <c r="P20" i="69"/>
  <c r="N20" i="69"/>
  <c r="Q20" i="69"/>
  <c r="T380" i="69"/>
  <c r="R380" i="69"/>
  <c r="Q208" i="69"/>
  <c r="T208" i="69"/>
  <c r="R208" i="69"/>
  <c r="Q205" i="69"/>
  <c r="Y205" i="69"/>
  <c r="Y194" i="69"/>
  <c r="T194" i="69"/>
  <c r="R194" i="69"/>
  <c r="Q37" i="69"/>
  <c r="T37" i="69"/>
  <c r="T16" i="69"/>
  <c r="V16" i="69"/>
  <c r="T30" i="69"/>
  <c r="R30" i="69"/>
  <c r="AA30" i="69"/>
  <c r="T46" i="69"/>
  <c r="T351" i="69"/>
  <c r="R351" i="69"/>
  <c r="AA351" i="69"/>
  <c r="W17" i="69"/>
  <c r="R17" i="69"/>
  <c r="S17" i="69"/>
  <c r="Z17" i="69"/>
  <c r="U17" i="69"/>
  <c r="T301" i="69"/>
  <c r="R301" i="69"/>
  <c r="T212" i="69"/>
  <c r="R212" i="69"/>
  <c r="X176" i="69"/>
  <c r="X177" i="69"/>
  <c r="Q177" i="69"/>
  <c r="T177" i="69"/>
  <c r="R177" i="69"/>
  <c r="AA177" i="69"/>
  <c r="Q228" i="69"/>
  <c r="T184" i="69"/>
  <c r="R184" i="69"/>
  <c r="X228" i="69"/>
  <c r="T38" i="69"/>
  <c r="R38" i="69"/>
  <c r="AA38" i="69"/>
  <c r="T99" i="69"/>
  <c r="Y99" i="69"/>
  <c r="Q221" i="69"/>
  <c r="T221" i="69"/>
  <c r="R221" i="69"/>
  <c r="Q64" i="69"/>
  <c r="T64" i="69"/>
  <c r="Y143" i="69"/>
  <c r="T143" i="69"/>
  <c r="R143" i="69"/>
  <c r="T327" i="69"/>
  <c r="R327" i="69"/>
  <c r="AA327" i="69"/>
  <c r="X183" i="69"/>
  <c r="T129" i="69"/>
  <c r="R129" i="69"/>
  <c r="T142" i="69"/>
  <c r="R142" i="69"/>
  <c r="V34" i="69"/>
  <c r="R34" i="69"/>
  <c r="S34" i="69"/>
  <c r="Z34" i="69"/>
  <c r="U34" i="69"/>
  <c r="X193" i="69"/>
  <c r="Q193" i="69"/>
  <c r="Q65" i="69"/>
  <c r="T65" i="69"/>
  <c r="U65" i="69"/>
  <c r="X65" i="69"/>
  <c r="T389" i="69"/>
  <c r="R389" i="69"/>
  <c r="T134" i="69"/>
  <c r="R134" i="69"/>
  <c r="Y342" i="69"/>
  <c r="Y363" i="69"/>
  <c r="T363" i="69"/>
  <c r="R363" i="69"/>
  <c r="Y247" i="69"/>
  <c r="T247" i="69"/>
  <c r="R247" i="69"/>
  <c r="T299" i="69"/>
  <c r="R299" i="69"/>
  <c r="Y264" i="69"/>
  <c r="AA184" i="69"/>
  <c r="S184" i="69"/>
  <c r="Z184" i="69"/>
  <c r="W30" i="69"/>
  <c r="R16" i="69"/>
  <c r="S16" i="69"/>
  <c r="U16" i="69"/>
  <c r="W16" i="69"/>
  <c r="T205" i="69"/>
  <c r="R205" i="69"/>
  <c r="AA205" i="69"/>
  <c r="AA153" i="69"/>
  <c r="S133" i="69"/>
  <c r="S144" i="69"/>
  <c r="AA389" i="69"/>
  <c r="U38" i="69"/>
  <c r="W38" i="69"/>
  <c r="AA34" i="69"/>
  <c r="AA129" i="69"/>
  <c r="S327" i="69"/>
  <c r="Y64" i="69"/>
  <c r="T344" i="69"/>
  <c r="R344" i="69"/>
  <c r="S344" i="69"/>
  <c r="R99" i="69"/>
  <c r="S99" i="69"/>
  <c r="U99" i="69"/>
  <c r="U76" i="69"/>
  <c r="V76" i="69"/>
  <c r="S167" i="69"/>
  <c r="Y65" i="69"/>
  <c r="Z153" i="69"/>
  <c r="Y193" i="69"/>
  <c r="T193" i="69"/>
  <c r="R193" i="69"/>
  <c r="Y228" i="69"/>
  <c r="T228" i="69"/>
  <c r="R228" i="69"/>
  <c r="S228" i="69"/>
  <c r="Y177" i="69"/>
  <c r="V46" i="69"/>
  <c r="AA208" i="69"/>
  <c r="S208" i="69"/>
  <c r="S205" i="69"/>
  <c r="V65" i="69"/>
  <c r="AA99" i="69"/>
  <c r="Z99" i="69"/>
  <c r="AA344" i="69"/>
  <c r="AA16" i="69"/>
  <c r="K36" i="66"/>
  <c r="K37" i="66"/>
  <c r="H21" i="41"/>
  <c r="I11" i="41"/>
  <c r="T20" i="10"/>
  <c r="P20" i="10"/>
  <c r="J15" i="66"/>
  <c r="L27" i="10"/>
  <c r="F11" i="39"/>
  <c r="H11" i="39"/>
  <c r="F11" i="46"/>
  <c r="H11" i="46"/>
  <c r="L23" i="10"/>
  <c r="M23" i="10"/>
  <c r="K27" i="10"/>
  <c r="H36" i="66"/>
  <c r="H37" i="66"/>
  <c r="F11" i="34"/>
  <c r="H11" i="34"/>
  <c r="F11" i="44"/>
  <c r="H11" i="44"/>
  <c r="F11" i="37"/>
  <c r="H11" i="37"/>
  <c r="L26" i="10"/>
  <c r="M26" i="10"/>
  <c r="N26" i="10"/>
  <c r="Q26" i="10"/>
  <c r="S26" i="10"/>
  <c r="L15" i="66"/>
  <c r="R37" i="66"/>
  <c r="R36" i="66"/>
  <c r="W28" i="10"/>
  <c r="E20" i="54"/>
  <c r="E15" i="57"/>
  <c r="H27" i="18"/>
  <c r="M27" i="18"/>
  <c r="I21" i="42"/>
  <c r="F29" i="42"/>
  <c r="J31" i="18"/>
  <c r="Y36" i="66"/>
  <c r="Y37" i="66"/>
  <c r="I20" i="18"/>
  <c r="I28" i="10"/>
  <c r="J28" i="10"/>
  <c r="M27" i="10"/>
  <c r="N27" i="10"/>
  <c r="M17" i="10"/>
  <c r="H21" i="36"/>
  <c r="I11" i="36"/>
  <c r="I21" i="45"/>
  <c r="F29" i="45"/>
  <c r="J34" i="18"/>
  <c r="H21" i="38"/>
  <c r="I11" i="38"/>
  <c r="H21" i="39"/>
  <c r="I11" i="39"/>
  <c r="F17" i="46"/>
  <c r="H17" i="46"/>
  <c r="I17" i="46"/>
  <c r="F17" i="40"/>
  <c r="H17" i="40"/>
  <c r="I17" i="40"/>
  <c r="F17" i="38"/>
  <c r="H17" i="38"/>
  <c r="I17" i="38"/>
  <c r="F17" i="42"/>
  <c r="F17" i="33"/>
  <c r="F17" i="37"/>
  <c r="H17" i="37"/>
  <c r="I17" i="37"/>
  <c r="F17" i="34"/>
  <c r="F17" i="45"/>
  <c r="F17" i="35"/>
  <c r="E18" i="57"/>
  <c r="L16" i="10"/>
  <c r="J16" i="10"/>
  <c r="K16" i="10"/>
  <c r="I22" i="10"/>
  <c r="J22" i="10"/>
  <c r="L22" i="10"/>
  <c r="P19" i="66"/>
  <c r="T19" i="66"/>
  <c r="K18" i="10"/>
  <c r="I18" i="10"/>
  <c r="J18" i="10"/>
  <c r="I21" i="66"/>
  <c r="K21" i="66"/>
  <c r="L21" i="66"/>
  <c r="M21" i="66"/>
  <c r="N21" i="66"/>
  <c r="Q21" i="66"/>
  <c r="S21" i="66"/>
  <c r="K17" i="66"/>
  <c r="J17" i="66"/>
  <c r="L17" i="66"/>
  <c r="W29" i="10"/>
  <c r="H29" i="10"/>
  <c r="K21" i="10"/>
  <c r="L21" i="10"/>
  <c r="J21" i="10"/>
  <c r="I21" i="10"/>
  <c r="G20" i="18"/>
  <c r="V26" i="66"/>
  <c r="I32" i="18"/>
  <c r="H32" i="18"/>
  <c r="I37" i="66"/>
  <c r="I36" i="66"/>
  <c r="F17" i="36"/>
  <c r="J21" i="66"/>
  <c r="J33" i="66"/>
  <c r="I33" i="66"/>
  <c r="L33" i="66"/>
  <c r="M16" i="66"/>
  <c r="N16" i="66"/>
  <c r="Q16" i="66"/>
  <c r="S16" i="66"/>
  <c r="AC36" i="66"/>
  <c r="AC37" i="66"/>
  <c r="L27" i="66"/>
  <c r="J27" i="66"/>
  <c r="I27" i="66"/>
  <c r="L28" i="66"/>
  <c r="I28" i="66"/>
  <c r="J28" i="66"/>
  <c r="K28" i="66"/>
  <c r="T24" i="10"/>
  <c r="P24" i="10"/>
  <c r="V24" i="10"/>
  <c r="Q29" i="66"/>
  <c r="S29" i="66"/>
  <c r="T29" i="66"/>
  <c r="F16" i="46"/>
  <c r="H16" i="46"/>
  <c r="I16" i="46"/>
  <c r="F16" i="40"/>
  <c r="F16" i="43"/>
  <c r="H16" i="43"/>
  <c r="I16" i="43"/>
  <c r="F16" i="44"/>
  <c r="F16" i="39"/>
  <c r="F16" i="33"/>
  <c r="F16" i="41"/>
  <c r="F16" i="45"/>
  <c r="H16" i="45"/>
  <c r="I16" i="45"/>
  <c r="F16" i="37"/>
  <c r="F16" i="38"/>
  <c r="F16" i="42"/>
  <c r="F16" i="35"/>
  <c r="H16" i="35"/>
  <c r="I16" i="35"/>
  <c r="F17" i="43"/>
  <c r="M19" i="10"/>
  <c r="N19" i="10"/>
  <c r="W22" i="10"/>
  <c r="L18" i="10"/>
  <c r="I17" i="66"/>
  <c r="AB20" i="66"/>
  <c r="H20" i="66"/>
  <c r="E9" i="54"/>
  <c r="E11" i="57"/>
  <c r="G22" i="18"/>
  <c r="I22" i="18"/>
  <c r="H22" i="18"/>
  <c r="M22" i="18"/>
  <c r="Q18" i="66"/>
  <c r="S18" i="66"/>
  <c r="G27" i="18"/>
  <c r="M31" i="18"/>
  <c r="P29" i="66"/>
  <c r="T26" i="66"/>
  <c r="I23" i="10"/>
  <c r="Q27" i="10"/>
  <c r="S27" i="10"/>
  <c r="N25" i="10"/>
  <c r="Q25" i="10"/>
  <c r="S25" i="10"/>
  <c r="H20" i="18"/>
  <c r="X26" i="66"/>
  <c r="J23" i="10"/>
  <c r="L36" i="66"/>
  <c r="N23" i="10"/>
  <c r="Q23" i="10"/>
  <c r="S23" i="10"/>
  <c r="M28" i="10"/>
  <c r="N28" i="10"/>
  <c r="Q28" i="10"/>
  <c r="S28" i="10"/>
  <c r="G32" i="18"/>
  <c r="M32" i="18"/>
  <c r="J29" i="10"/>
  <c r="K29" i="10"/>
  <c r="N32" i="66"/>
  <c r="Q32" i="66"/>
  <c r="S32" i="66"/>
  <c r="I21" i="32"/>
  <c r="F29" i="32"/>
  <c r="J19" i="18"/>
  <c r="M25" i="66"/>
  <c r="N25" i="66"/>
  <c r="Q23" i="66"/>
  <c r="S23" i="66"/>
  <c r="J24" i="10"/>
  <c r="I24" i="10"/>
  <c r="K24" i="10"/>
  <c r="J25" i="66"/>
  <c r="L24" i="66"/>
  <c r="K26" i="10"/>
  <c r="I26" i="10"/>
  <c r="W24" i="10"/>
  <c r="K25" i="66"/>
  <c r="I11" i="44"/>
  <c r="H21" i="44"/>
  <c r="M15" i="66"/>
  <c r="L37" i="66"/>
  <c r="H21" i="34"/>
  <c r="I11" i="34"/>
  <c r="J37" i="66"/>
  <c r="J36" i="66"/>
  <c r="I21" i="41"/>
  <c r="F29" i="41"/>
  <c r="J28" i="18"/>
  <c r="P26" i="10"/>
  <c r="T26" i="10"/>
  <c r="I11" i="46"/>
  <c r="H21" i="46"/>
  <c r="O20" i="10"/>
  <c r="V20" i="10"/>
  <c r="H21" i="37"/>
  <c r="I11" i="37"/>
  <c r="Q19" i="10"/>
  <c r="S19" i="10"/>
  <c r="P19" i="10"/>
  <c r="P16" i="66"/>
  <c r="T16" i="66"/>
  <c r="O24" i="10"/>
  <c r="M28" i="66"/>
  <c r="N28" i="66"/>
  <c r="T21" i="66"/>
  <c r="P21" i="66"/>
  <c r="M22" i="10"/>
  <c r="N22" i="10"/>
  <c r="I34" i="18"/>
  <c r="H34" i="18"/>
  <c r="M34" i="18"/>
  <c r="G34" i="18"/>
  <c r="N17" i="10"/>
  <c r="Q17" i="10"/>
  <c r="S17" i="10"/>
  <c r="M17" i="66"/>
  <c r="N17" i="66"/>
  <c r="Q17" i="66"/>
  <c r="S17" i="66"/>
  <c r="M18" i="10"/>
  <c r="N18" i="10"/>
  <c r="Q18" i="10"/>
  <c r="S18" i="10"/>
  <c r="F20" i="18"/>
  <c r="E20" i="18"/>
  <c r="I31" i="18"/>
  <c r="H31" i="18"/>
  <c r="G31" i="18"/>
  <c r="M33" i="66"/>
  <c r="N33" i="66"/>
  <c r="M21" i="10"/>
  <c r="N21" i="10"/>
  <c r="M16" i="10"/>
  <c r="N16" i="10"/>
  <c r="Q16" i="10"/>
  <c r="F29" i="39"/>
  <c r="J26" i="18"/>
  <c r="I21" i="39"/>
  <c r="I20" i="66"/>
  <c r="K20" i="66"/>
  <c r="L20" i="66"/>
  <c r="J20" i="66"/>
  <c r="M27" i="66"/>
  <c r="N27" i="66"/>
  <c r="I29" i="10"/>
  <c r="L29" i="10"/>
  <c r="O19" i="66"/>
  <c r="V19" i="66"/>
  <c r="X19" i="66"/>
  <c r="I21" i="38"/>
  <c r="F29" i="38"/>
  <c r="J25" i="18"/>
  <c r="I21" i="36"/>
  <c r="F29" i="36"/>
  <c r="J23" i="18"/>
  <c r="P32" i="66"/>
  <c r="T32" i="66"/>
  <c r="P28" i="10"/>
  <c r="T28" i="10"/>
  <c r="P23" i="10"/>
  <c r="T23" i="10"/>
  <c r="T27" i="10"/>
  <c r="P27" i="10"/>
  <c r="Q25" i="66"/>
  <c r="S25" i="66"/>
  <c r="T23" i="66"/>
  <c r="P23" i="66"/>
  <c r="M24" i="66"/>
  <c r="N24" i="66"/>
  <c r="F32" i="18"/>
  <c r="E32" i="18"/>
  <c r="T18" i="66"/>
  <c r="P18" i="66"/>
  <c r="F22" i="18"/>
  <c r="E22" i="18"/>
  <c r="G19" i="18"/>
  <c r="M19" i="18"/>
  <c r="I19" i="18"/>
  <c r="H19" i="18"/>
  <c r="P25" i="10"/>
  <c r="T25" i="10"/>
  <c r="O29" i="66"/>
  <c r="X29" i="66"/>
  <c r="V29" i="66"/>
  <c r="F27" i="18"/>
  <c r="E27" i="18"/>
  <c r="T19" i="10"/>
  <c r="O26" i="10"/>
  <c r="V26" i="10"/>
  <c r="M37" i="66"/>
  <c r="M36" i="66"/>
  <c r="N15" i="66"/>
  <c r="F29" i="46"/>
  <c r="J35" i="18"/>
  <c r="I21" i="46"/>
  <c r="I21" i="44"/>
  <c r="F29" i="44"/>
  <c r="J33" i="18"/>
  <c r="I28" i="18"/>
  <c r="H28" i="18"/>
  <c r="G28" i="18"/>
  <c r="M28" i="18"/>
  <c r="Q27" i="66"/>
  <c r="S27" i="66"/>
  <c r="P27" i="66"/>
  <c r="F29" i="37"/>
  <c r="J24" i="18"/>
  <c r="I21" i="37"/>
  <c r="I21" i="34"/>
  <c r="F29" i="34"/>
  <c r="J21" i="18"/>
  <c r="Q21" i="10"/>
  <c r="S21" i="10"/>
  <c r="P21" i="10"/>
  <c r="Q22" i="10"/>
  <c r="S22" i="10"/>
  <c r="P17" i="10"/>
  <c r="T17" i="10"/>
  <c r="T18" i="10"/>
  <c r="P18" i="10"/>
  <c r="T22" i="10"/>
  <c r="P22" i="10"/>
  <c r="S16" i="10"/>
  <c r="Q30" i="10"/>
  <c r="Q33" i="10"/>
  <c r="M23" i="18"/>
  <c r="G23" i="18"/>
  <c r="I23" i="18"/>
  <c r="H23" i="18"/>
  <c r="M20" i="66"/>
  <c r="N20" i="66"/>
  <c r="M26" i="18"/>
  <c r="I26" i="18"/>
  <c r="H26" i="18"/>
  <c r="G26" i="18"/>
  <c r="F31" i="18"/>
  <c r="E31" i="18"/>
  <c r="F34" i="18"/>
  <c r="E34" i="18"/>
  <c r="O19" i="10"/>
  <c r="V19" i="10"/>
  <c r="G25" i="18"/>
  <c r="M25" i="18"/>
  <c r="I25" i="18"/>
  <c r="H25" i="18"/>
  <c r="T17" i="66"/>
  <c r="P17" i="66"/>
  <c r="Q28" i="66"/>
  <c r="S28" i="66"/>
  <c r="M29" i="10"/>
  <c r="N29" i="10"/>
  <c r="Q33" i="66"/>
  <c r="S33" i="66"/>
  <c r="V21" i="66"/>
  <c r="X21" i="66"/>
  <c r="O21" i="66"/>
  <c r="V16" i="66"/>
  <c r="O16" i="66"/>
  <c r="X16" i="66"/>
  <c r="P25" i="66"/>
  <c r="T25" i="66"/>
  <c r="O28" i="10"/>
  <c r="V28" i="10"/>
  <c r="O32" i="66"/>
  <c r="V32" i="66"/>
  <c r="Q24" i="66"/>
  <c r="S24" i="66"/>
  <c r="V27" i="10"/>
  <c r="O27" i="10"/>
  <c r="F19" i="18"/>
  <c r="E19" i="18"/>
  <c r="X23" i="66"/>
  <c r="O23" i="66"/>
  <c r="V23" i="66"/>
  <c r="O23" i="10"/>
  <c r="V23" i="10"/>
  <c r="V25" i="10"/>
  <c r="O25" i="10"/>
  <c r="X18" i="66"/>
  <c r="V18" i="66"/>
  <c r="O18" i="66"/>
  <c r="I21" i="18"/>
  <c r="H21" i="18"/>
  <c r="G21" i="18"/>
  <c r="F21" i="18"/>
  <c r="E21" i="18"/>
  <c r="M21" i="18"/>
  <c r="M35" i="18"/>
  <c r="G35" i="18"/>
  <c r="F35" i="18"/>
  <c r="E35" i="18"/>
  <c r="I35" i="18"/>
  <c r="H35" i="18"/>
  <c r="I33" i="18"/>
  <c r="H33" i="18"/>
  <c r="G33" i="18"/>
  <c r="M33" i="18"/>
  <c r="Q15" i="66"/>
  <c r="N37" i="66"/>
  <c r="N36" i="66"/>
  <c r="T27" i="66"/>
  <c r="F28" i="18"/>
  <c r="E28" i="18"/>
  <c r="M24" i="18"/>
  <c r="G24" i="18"/>
  <c r="F24" i="18"/>
  <c r="E24" i="18"/>
  <c r="I24" i="18"/>
  <c r="H24" i="18"/>
  <c r="V21" i="10"/>
  <c r="O21" i="10"/>
  <c r="T21" i="10"/>
  <c r="Q29" i="10"/>
  <c r="S29" i="10"/>
  <c r="V27" i="66"/>
  <c r="O27" i="66"/>
  <c r="X27" i="66"/>
  <c r="F23" i="18"/>
  <c r="E23" i="18"/>
  <c r="V22" i="10"/>
  <c r="O22" i="10"/>
  <c r="O18" i="10"/>
  <c r="V18" i="10"/>
  <c r="T28" i="66"/>
  <c r="P28" i="66"/>
  <c r="F26" i="18"/>
  <c r="E26" i="18"/>
  <c r="Q20" i="66"/>
  <c r="S20" i="66"/>
  <c r="P33" i="66"/>
  <c r="T33" i="66"/>
  <c r="O17" i="66"/>
  <c r="X17" i="66"/>
  <c r="V17" i="66"/>
  <c r="F25" i="18"/>
  <c r="E25" i="18"/>
  <c r="T16" i="10"/>
  <c r="T30" i="10"/>
  <c r="T33" i="10"/>
  <c r="P16" i="10"/>
  <c r="S30" i="10"/>
  <c r="S33" i="10"/>
  <c r="O17" i="10"/>
  <c r="V17" i="10"/>
  <c r="O25" i="66"/>
  <c r="X25" i="66"/>
  <c r="V25" i="66"/>
  <c r="P24" i="66"/>
  <c r="T24" i="66"/>
  <c r="Q36" i="66"/>
  <c r="Q37" i="66"/>
  <c r="S15" i="66"/>
  <c r="F33" i="18"/>
  <c r="E33" i="18"/>
  <c r="O16" i="10"/>
  <c r="V16" i="10"/>
  <c r="P30" i="10"/>
  <c r="O33" i="66"/>
  <c r="V33" i="66"/>
  <c r="X28" i="66"/>
  <c r="O28" i="66"/>
  <c r="V28" i="66"/>
  <c r="P20" i="66"/>
  <c r="T20" i="66"/>
  <c r="T29" i="10"/>
  <c r="P29" i="10"/>
  <c r="Y16" i="10"/>
  <c r="V24" i="66"/>
  <c r="X24" i="66"/>
  <c r="O24" i="66"/>
  <c r="T15" i="66"/>
  <c r="S37" i="66"/>
  <c r="S36" i="66"/>
  <c r="P15" i="66"/>
  <c r="X20" i="66"/>
  <c r="V20" i="66"/>
  <c r="O20" i="66"/>
  <c r="O30" i="10"/>
  <c r="W30" i="10"/>
  <c r="P33" i="10"/>
  <c r="Y22" i="10"/>
  <c r="Y23" i="10"/>
  <c r="Y26" i="10"/>
  <c r="Y17" i="10"/>
  <c r="Y24" i="10"/>
  <c r="V29" i="10"/>
  <c r="Y18" i="10"/>
  <c r="Y25" i="10"/>
  <c r="O29" i="10"/>
  <c r="Y19" i="10"/>
  <c r="Y21" i="10"/>
  <c r="T37" i="66"/>
  <c r="T36" i="66"/>
  <c r="P37" i="66"/>
  <c r="X15" i="66"/>
  <c r="X37" i="66"/>
  <c r="O15" i="66"/>
  <c r="V15" i="66"/>
  <c r="V37" i="66"/>
  <c r="P36" i="66"/>
  <c r="O33" i="10"/>
  <c r="W33" i="10"/>
  <c r="V36" i="66"/>
  <c r="O36" i="66"/>
  <c r="O37" i="66"/>
  <c r="P39" i="69"/>
  <c r="O39" i="69"/>
  <c r="N39" i="69"/>
  <c r="Q39" i="69"/>
  <c r="O225" i="69"/>
  <c r="N225" i="69"/>
  <c r="P225" i="69"/>
  <c r="Q225" i="69"/>
  <c r="T225" i="69"/>
  <c r="R225" i="69"/>
  <c r="N322" i="69"/>
  <c r="O322" i="69"/>
  <c r="P322" i="69"/>
  <c r="X322" i="69"/>
  <c r="P325" i="69"/>
  <c r="N325" i="69"/>
  <c r="O325" i="69"/>
  <c r="P332" i="69"/>
  <c r="O332" i="69"/>
  <c r="N332" i="69"/>
  <c r="AA352" i="69"/>
  <c r="S352" i="69"/>
  <c r="Z352" i="69"/>
  <c r="T58" i="69"/>
  <c r="Y58" i="69"/>
  <c r="N195" i="69"/>
  <c r="O195" i="69"/>
  <c r="P195" i="69"/>
  <c r="Q195" i="69"/>
  <c r="P234" i="69"/>
  <c r="O234" i="69"/>
  <c r="N234" i="69"/>
  <c r="Q234" i="69"/>
  <c r="O219" i="69"/>
  <c r="N219" i="69"/>
  <c r="P219" i="69"/>
  <c r="Q219" i="69"/>
  <c r="T219" i="69"/>
  <c r="R219" i="69"/>
  <c r="N256" i="69"/>
  <c r="O256" i="69"/>
  <c r="P256" i="69"/>
  <c r="Q256" i="69"/>
  <c r="P292" i="69"/>
  <c r="N292" i="69"/>
  <c r="O292" i="69"/>
  <c r="X292" i="69"/>
  <c r="N312" i="69"/>
  <c r="P312" i="69"/>
  <c r="O312" i="69"/>
  <c r="O308" i="69"/>
  <c r="N308" i="69"/>
  <c r="P308" i="69"/>
  <c r="X308" i="69"/>
  <c r="P124" i="69"/>
  <c r="O124" i="69"/>
  <c r="N124" i="69"/>
  <c r="X124" i="69"/>
  <c r="P28" i="69"/>
  <c r="N28" i="69"/>
  <c r="O28" i="69"/>
  <c r="S146" i="69"/>
  <c r="Z146" i="69"/>
  <c r="AA146" i="69"/>
  <c r="N53" i="69"/>
  <c r="O53" i="69"/>
  <c r="P53" i="69"/>
  <c r="Q53" i="69"/>
  <c r="T53" i="69"/>
  <c r="O333" i="69"/>
  <c r="N333" i="69"/>
  <c r="P333" i="69"/>
  <c r="Q333" i="69"/>
  <c r="N343" i="69"/>
  <c r="O343" i="69"/>
  <c r="P343" i="69"/>
  <c r="X343" i="69"/>
  <c r="S265" i="69"/>
  <c r="AA265" i="69"/>
  <c r="AA274" i="69"/>
  <c r="S274" i="69"/>
  <c r="Z274" i="69"/>
  <c r="AA222" i="69"/>
  <c r="S222" i="69"/>
  <c r="Z222" i="69"/>
  <c r="AA253" i="69"/>
  <c r="S253" i="69"/>
  <c r="Z253" i="69"/>
  <c r="O197" i="69"/>
  <c r="N197" i="69"/>
  <c r="P197" i="69"/>
  <c r="X197" i="69"/>
  <c r="Q197" i="69"/>
  <c r="N224" i="69"/>
  <c r="O224" i="69"/>
  <c r="P224" i="69"/>
  <c r="X224" i="69"/>
  <c r="N211" i="69"/>
  <c r="P211" i="69"/>
  <c r="O211" i="69"/>
  <c r="O290" i="69"/>
  <c r="N290" i="69"/>
  <c r="P290" i="69"/>
  <c r="X290" i="69"/>
  <c r="O269" i="69"/>
  <c r="N269" i="69"/>
  <c r="P269" i="69"/>
  <c r="X269" i="69"/>
  <c r="N297" i="69"/>
  <c r="O297" i="69"/>
  <c r="P297" i="69"/>
  <c r="Q297" i="69"/>
  <c r="T297" i="69"/>
  <c r="R297" i="69"/>
  <c r="O317" i="69"/>
  <c r="N317" i="69"/>
  <c r="P317" i="69"/>
  <c r="X317" i="69"/>
  <c r="Q317" i="69"/>
  <c r="N318" i="69"/>
  <c r="O318" i="69"/>
  <c r="P318" i="69"/>
  <c r="Q318" i="69"/>
  <c r="S18" i="69"/>
  <c r="Z18" i="69"/>
  <c r="X367" i="69"/>
  <c r="Q138" i="69"/>
  <c r="T138" i="69"/>
  <c r="R138" i="69"/>
  <c r="X335" i="69"/>
  <c r="X128" i="69"/>
  <c r="Y128" i="69"/>
  <c r="X334" i="69"/>
  <c r="Y334" i="69"/>
  <c r="Q370" i="69"/>
  <c r="Y370" i="69"/>
  <c r="Q356" i="69"/>
  <c r="T356" i="69"/>
  <c r="R356" i="69"/>
  <c r="X161" i="69"/>
  <c r="X130" i="69"/>
  <c r="X52" i="69"/>
  <c r="Y221" i="69"/>
  <c r="Y123" i="69"/>
  <c r="X76" i="69"/>
  <c r="Y76" i="69"/>
  <c r="Z223" i="69"/>
  <c r="X172" i="69"/>
  <c r="Y172" i="69"/>
  <c r="Q41" i="69"/>
  <c r="X303" i="69"/>
  <c r="Y303" i="69"/>
  <c r="Q164" i="69"/>
  <c r="T164" i="69"/>
  <c r="R164" i="69"/>
  <c r="Q29" i="69"/>
  <c r="Y29" i="69"/>
  <c r="X320" i="69"/>
  <c r="Y320" i="69"/>
  <c r="X383" i="69"/>
  <c r="Y383" i="69"/>
  <c r="X159" i="69"/>
  <c r="Q47" i="69"/>
  <c r="X382" i="69"/>
  <c r="Y382" i="69"/>
  <c r="X157" i="69"/>
  <c r="Q250" i="69"/>
  <c r="T250" i="69"/>
  <c r="R250" i="69"/>
  <c r="X36" i="66"/>
  <c r="AA228" i="69"/>
  <c r="X173" i="69"/>
  <c r="Y173" i="69"/>
  <c r="X44" i="69"/>
  <c r="Q349" i="69"/>
  <c r="T349" i="69"/>
  <c r="R349" i="69"/>
  <c r="Q24" i="69"/>
  <c r="T24" i="69"/>
  <c r="X22" i="69"/>
  <c r="Y22" i="69"/>
  <c r="Y356" i="69"/>
  <c r="X169" i="69"/>
  <c r="Y169" i="69"/>
  <c r="X153" i="69"/>
  <c r="Y153" i="69"/>
  <c r="X142" i="69"/>
  <c r="X319" i="69"/>
  <c r="Q254" i="69"/>
  <c r="T254" i="69"/>
  <c r="R254" i="69"/>
  <c r="X129" i="69"/>
  <c r="Y129" i="69"/>
  <c r="X380" i="69"/>
  <c r="Y380" i="69"/>
  <c r="X125" i="69"/>
  <c r="Y125" i="69"/>
  <c r="X379" i="69"/>
  <c r="Y379" i="69"/>
  <c r="X192" i="69"/>
  <c r="Q331" i="69"/>
  <c r="AA331" i="69"/>
  <c r="X196" i="69"/>
  <c r="Y142" i="69"/>
  <c r="AA370" i="69"/>
  <c r="X365" i="69"/>
  <c r="X167" i="69"/>
  <c r="Y167" i="69"/>
  <c r="Q154" i="69"/>
  <c r="T154" i="69"/>
  <c r="R154" i="69"/>
  <c r="X168" i="69"/>
  <c r="Y168" i="69"/>
  <c r="Q98" i="69"/>
  <c r="T98" i="69"/>
  <c r="Q26" i="69"/>
  <c r="Q122" i="69"/>
  <c r="T122" i="69"/>
  <c r="R122" i="69"/>
  <c r="X302" i="69"/>
  <c r="Y302" i="69"/>
  <c r="X171" i="69"/>
  <c r="Y171" i="69"/>
  <c r="W37" i="66"/>
  <c r="U30" i="10"/>
  <c r="U33" i="10"/>
  <c r="V33" i="10"/>
  <c r="V30" i="10"/>
  <c r="U57" i="69"/>
  <c r="V57" i="69"/>
  <c r="R57" i="69"/>
  <c r="AA221" i="69"/>
  <c r="S221" i="69"/>
  <c r="AA361" i="69"/>
  <c r="S361" i="69"/>
  <c r="Z361" i="69"/>
  <c r="AA123" i="69"/>
  <c r="S123" i="69"/>
  <c r="Z123" i="69"/>
  <c r="R64" i="69"/>
  <c r="U64" i="69"/>
  <c r="V64" i="69"/>
  <c r="AA212" i="69"/>
  <c r="S212" i="69"/>
  <c r="Z212" i="69"/>
  <c r="S194" i="69"/>
  <c r="Z194" i="69"/>
  <c r="AA194" i="69"/>
  <c r="AA380" i="69"/>
  <c r="S380" i="69"/>
  <c r="Z380" i="69"/>
  <c r="S301" i="69"/>
  <c r="AA301" i="69"/>
  <c r="U37" i="69"/>
  <c r="W37" i="69"/>
  <c r="R37" i="69"/>
  <c r="S38" i="69"/>
  <c r="R65" i="69"/>
  <c r="S30" i="69"/>
  <c r="Z30" i="69"/>
  <c r="AA17" i="69"/>
  <c r="U30" i="69"/>
  <c r="X20" i="69"/>
  <c r="Y144" i="69"/>
  <c r="S202" i="69"/>
  <c r="AA202" i="69"/>
  <c r="S303" i="69"/>
  <c r="Z303" i="69"/>
  <c r="AA303" i="69"/>
  <c r="AA254" i="69"/>
  <c r="S254" i="69"/>
  <c r="Z254" i="69"/>
  <c r="AA347" i="69"/>
  <c r="S347" i="69"/>
  <c r="Z347" i="69"/>
  <c r="S145" i="69"/>
  <c r="Z145" i="69"/>
  <c r="AA145" i="69"/>
  <c r="S276" i="69"/>
  <c r="Z276" i="69"/>
  <c r="AA385" i="69"/>
  <c r="S385" i="69"/>
  <c r="Z385" i="69"/>
  <c r="S273" i="69"/>
  <c r="AA273" i="69"/>
  <c r="AA213" i="69"/>
  <c r="S213" i="69"/>
  <c r="Z213" i="69"/>
  <c r="AA181" i="69"/>
  <c r="S181" i="69"/>
  <c r="Y37" i="69"/>
  <c r="AA245" i="69"/>
  <c r="S245" i="69"/>
  <c r="Z245" i="69"/>
  <c r="AA250" i="69"/>
  <c r="S250" i="69"/>
  <c r="Z250" i="69"/>
  <c r="W24" i="69"/>
  <c r="U24" i="69"/>
  <c r="R24" i="69"/>
  <c r="V24" i="69"/>
  <c r="Z344" i="69"/>
  <c r="X53" i="69"/>
  <c r="X208" i="69"/>
  <c r="Y208" i="69"/>
  <c r="AA172" i="69"/>
  <c r="S172" i="69"/>
  <c r="S338" i="69"/>
  <c r="Z338" i="69"/>
  <c r="AA170" i="69"/>
  <c r="S170" i="69"/>
  <c r="Z170" i="69"/>
  <c r="S147" i="69"/>
  <c r="Z147" i="69"/>
  <c r="AA147" i="69"/>
  <c r="AA136" i="69"/>
  <c r="S136" i="69"/>
  <c r="Z136" i="69"/>
  <c r="Y30" i="69"/>
  <c r="S206" i="69"/>
  <c r="Z206" i="69"/>
  <c r="U18" i="69"/>
  <c r="Z265" i="69"/>
  <c r="U19" i="69"/>
  <c r="AA252" i="69"/>
  <c r="S169" i="69"/>
  <c r="Z169" i="69"/>
  <c r="Z125" i="69"/>
  <c r="Q31" i="69"/>
  <c r="X348" i="69"/>
  <c r="Y299" i="69"/>
  <c r="W22" i="69"/>
  <c r="R19" i="69"/>
  <c r="AA164" i="69"/>
  <c r="S164" i="69"/>
  <c r="Q321" i="69"/>
  <c r="X321" i="69"/>
  <c r="X349" i="69"/>
  <c r="Y349" i="69"/>
  <c r="X51" i="69"/>
  <c r="Q44" i="69"/>
  <c r="Q42" i="69"/>
  <c r="O43" i="69"/>
  <c r="Q365" i="69"/>
  <c r="Q388" i="69"/>
  <c r="T388" i="69"/>
  <c r="R388" i="69"/>
  <c r="X98" i="69"/>
  <c r="Y98" i="69"/>
  <c r="X16" i="69"/>
  <c r="Y16" i="69"/>
  <c r="X314" i="69"/>
  <c r="Y314" i="69"/>
  <c r="Q313" i="69"/>
  <c r="T313" i="69"/>
  <c r="R313" i="69"/>
  <c r="P306" i="69"/>
  <c r="Q306" i="69"/>
  <c r="X281" i="69"/>
  <c r="Q255" i="69"/>
  <c r="T255" i="69"/>
  <c r="R255" i="69"/>
  <c r="Q292" i="69"/>
  <c r="T292" i="69"/>
  <c r="R292" i="69"/>
  <c r="AA292" i="69"/>
  <c r="P287" i="69"/>
  <c r="Q287" i="69"/>
  <c r="X265" i="69"/>
  <c r="Y265" i="69"/>
  <c r="P182" i="69"/>
  <c r="O182" i="69"/>
  <c r="N182" i="69"/>
  <c r="O179" i="69"/>
  <c r="N179" i="69"/>
  <c r="P179" i="69"/>
  <c r="N200" i="69"/>
  <c r="P200" i="69"/>
  <c r="O200" i="69"/>
  <c r="O242" i="69"/>
  <c r="P242" i="69"/>
  <c r="N233" i="69"/>
  <c r="P233" i="69"/>
  <c r="O233" i="69"/>
  <c r="P249" i="69"/>
  <c r="O249" i="69"/>
  <c r="N249" i="69"/>
  <c r="P203" i="69"/>
  <c r="O203" i="69"/>
  <c r="N203" i="69"/>
  <c r="O298" i="69"/>
  <c r="N298" i="69"/>
  <c r="P298" i="69"/>
  <c r="P257" i="69"/>
  <c r="O257" i="69"/>
  <c r="N257" i="69"/>
  <c r="N300" i="69"/>
  <c r="P300" i="69"/>
  <c r="O300" i="69"/>
  <c r="P324" i="69"/>
  <c r="O324" i="69"/>
  <c r="N324" i="69"/>
  <c r="P307" i="69"/>
  <c r="O307" i="69"/>
  <c r="N307" i="69"/>
  <c r="P326" i="69"/>
  <c r="N326" i="69"/>
  <c r="O326" i="69"/>
  <c r="O339" i="69"/>
  <c r="N339" i="69"/>
  <c r="P339" i="69"/>
  <c r="O149" i="69"/>
  <c r="N149" i="69"/>
  <c r="P149" i="69"/>
  <c r="Q69" i="69"/>
  <c r="Q56" i="69"/>
  <c r="X366" i="69"/>
  <c r="X381" i="69"/>
  <c r="X351" i="69"/>
  <c r="Y351" i="69"/>
  <c r="Q162" i="69"/>
  <c r="T162" i="69"/>
  <c r="R162" i="69"/>
  <c r="X154" i="69"/>
  <c r="Y154" i="69"/>
  <c r="X133" i="69"/>
  <c r="Y133" i="69"/>
  <c r="X138" i="69"/>
  <c r="Y138" i="69"/>
  <c r="Q290" i="69"/>
  <c r="P188" i="69"/>
  <c r="O188" i="69"/>
  <c r="N188" i="69"/>
  <c r="P209" i="69"/>
  <c r="N209" i="69"/>
  <c r="X209" i="69"/>
  <c r="N210" i="69"/>
  <c r="P210" i="69"/>
  <c r="O210" i="69"/>
  <c r="P226" i="69"/>
  <c r="O226" i="69"/>
  <c r="N226" i="69"/>
  <c r="O279" i="69"/>
  <c r="N279" i="69"/>
  <c r="P279" i="69"/>
  <c r="N295" i="69"/>
  <c r="P295" i="69"/>
  <c r="O295" i="69"/>
  <c r="P263" i="69"/>
  <c r="O263" i="69"/>
  <c r="N263" i="69"/>
  <c r="P73" i="69"/>
  <c r="O73" i="69"/>
  <c r="N73" i="69"/>
  <c r="P140" i="69"/>
  <c r="O140" i="69"/>
  <c r="N140" i="69"/>
  <c r="X140" i="69"/>
  <c r="N121" i="69"/>
  <c r="P121" i="69"/>
  <c r="O121" i="69"/>
  <c r="X57" i="69"/>
  <c r="Y57" i="69"/>
  <c r="Q348" i="69"/>
  <c r="X17" i="69"/>
  <c r="Y17" i="69"/>
  <c r="X361" i="69"/>
  <c r="Y361" i="69"/>
  <c r="Q148" i="69"/>
  <c r="T148" i="69"/>
  <c r="R148" i="69"/>
  <c r="Q132" i="69"/>
  <c r="X250" i="69"/>
  <c r="Y250" i="69"/>
  <c r="N185" i="69"/>
  <c r="P185" i="69"/>
  <c r="O185" i="69"/>
  <c r="P190" i="69"/>
  <c r="O190" i="69"/>
  <c r="N190" i="69"/>
  <c r="O187" i="69"/>
  <c r="P187" i="69"/>
  <c r="N232" i="69"/>
  <c r="P232" i="69"/>
  <c r="O232" i="69"/>
  <c r="N258" i="69"/>
  <c r="O258" i="69"/>
  <c r="P258" i="69"/>
  <c r="X258" i="69"/>
  <c r="N243" i="69"/>
  <c r="P243" i="69"/>
  <c r="O243" i="69"/>
  <c r="O235" i="69"/>
  <c r="N235" i="69"/>
  <c r="P235" i="69"/>
  <c r="P270" i="69"/>
  <c r="O270" i="69"/>
  <c r="N270" i="69"/>
  <c r="P289" i="69"/>
  <c r="O289" i="69"/>
  <c r="N289" i="69"/>
  <c r="N316" i="69"/>
  <c r="P316" i="69"/>
  <c r="O316" i="69"/>
  <c r="P323" i="69"/>
  <c r="O323" i="69"/>
  <c r="N323" i="69"/>
  <c r="X323" i="69"/>
  <c r="N329" i="69"/>
  <c r="P329" i="69"/>
  <c r="O329" i="69"/>
  <c r="P137" i="69"/>
  <c r="O137" i="69"/>
  <c r="N137" i="69"/>
  <c r="O156" i="69"/>
  <c r="N156" i="69"/>
  <c r="P156" i="69"/>
  <c r="Q156" i="69"/>
  <c r="Q48" i="69"/>
  <c r="X313" i="69"/>
  <c r="Y313" i="69"/>
  <c r="P180" i="69"/>
  <c r="O180" i="69"/>
  <c r="N180" i="69"/>
  <c r="X180" i="69"/>
  <c r="N217" i="69"/>
  <c r="O217" i="69"/>
  <c r="P217" i="69"/>
  <c r="X217" i="69"/>
  <c r="O218" i="69"/>
  <c r="N218" i="69"/>
  <c r="P218" i="69"/>
  <c r="O282" i="69"/>
  <c r="N282" i="69"/>
  <c r="P282" i="69"/>
  <c r="O284" i="69"/>
  <c r="N284" i="69"/>
  <c r="P284" i="69"/>
  <c r="O305" i="69"/>
  <c r="N305" i="69"/>
  <c r="P305" i="69"/>
  <c r="X305" i="69"/>
  <c r="X220" i="69"/>
  <c r="Y220" i="69"/>
  <c r="X150" i="69"/>
  <c r="Q308" i="69"/>
  <c r="X315" i="69"/>
  <c r="X288" i="69"/>
  <c r="Y288" i="69"/>
  <c r="X286" i="69"/>
  <c r="Y286" i="69"/>
  <c r="X238" i="69"/>
  <c r="X216" i="69"/>
  <c r="Y216" i="69"/>
  <c r="Q191" i="69"/>
  <c r="T191" i="69"/>
  <c r="R191" i="69"/>
  <c r="AA191" i="69"/>
  <c r="X362" i="69"/>
  <c r="Y362" i="69"/>
  <c r="Q159" i="69"/>
  <c r="X170" i="69"/>
  <c r="Y170" i="69"/>
  <c r="Q161" i="69"/>
  <c r="Q36" i="69"/>
  <c r="T36" i="69"/>
  <c r="X62" i="69"/>
  <c r="Y62" i="69"/>
  <c r="X256" i="69"/>
  <c r="Y256" i="69"/>
  <c r="X245" i="69"/>
  <c r="Y245" i="69"/>
  <c r="X385" i="69"/>
  <c r="Y385" i="69"/>
  <c r="Q359" i="69"/>
  <c r="Q157" i="69"/>
  <c r="Q27" i="69"/>
  <c r="X318" i="69"/>
  <c r="Y318" i="69"/>
  <c r="Q322" i="69"/>
  <c r="X259" i="69"/>
  <c r="Y259" i="69"/>
  <c r="X252" i="69"/>
  <c r="Y252" i="69"/>
  <c r="Q33" i="69"/>
  <c r="X126" i="69"/>
  <c r="Y126" i="69"/>
  <c r="X239" i="69"/>
  <c r="Y239" i="69"/>
  <c r="X38" i="69"/>
  <c r="Y38" i="69"/>
  <c r="X28" i="69"/>
  <c r="X47" i="69"/>
  <c r="Y47" i="69"/>
  <c r="X135" i="69"/>
  <c r="Y135" i="69"/>
  <c r="Q130" i="69"/>
  <c r="X219" i="69"/>
  <c r="X202" i="69"/>
  <c r="Y202" i="69"/>
  <c r="X225" i="69"/>
  <c r="X212" i="69"/>
  <c r="Y212" i="69"/>
  <c r="Q364" i="69"/>
  <c r="T364" i="69"/>
  <c r="R364" i="69"/>
  <c r="X166" i="69"/>
  <c r="Y166" i="69"/>
  <c r="X131" i="69"/>
  <c r="Y131" i="69"/>
  <c r="Q332" i="69"/>
  <c r="T332" i="69"/>
  <c r="R332" i="69"/>
  <c r="X325" i="69"/>
  <c r="X285" i="69"/>
  <c r="Y285" i="69"/>
  <c r="X253" i="69"/>
  <c r="Y253" i="69"/>
  <c r="Q275" i="69"/>
  <c r="X291" i="69"/>
  <c r="Y291" i="69"/>
  <c r="X201" i="69"/>
  <c r="X261" i="69"/>
  <c r="Y261" i="69"/>
  <c r="X260" i="69"/>
  <c r="X206" i="69"/>
  <c r="Y206" i="69"/>
  <c r="Q229" i="69"/>
  <c r="X389" i="69"/>
  <c r="Y389" i="69"/>
  <c r="X272" i="69"/>
  <c r="Q63" i="69"/>
  <c r="X375" i="69"/>
  <c r="Y375" i="69"/>
  <c r="X357" i="69"/>
  <c r="Y357" i="69"/>
  <c r="X152" i="69"/>
  <c r="Y152" i="69"/>
  <c r="Q120" i="69"/>
  <c r="T120" i="69"/>
  <c r="R120" i="69"/>
  <c r="X333" i="69"/>
  <c r="Q312" i="69"/>
  <c r="X296" i="69"/>
  <c r="Y296" i="69"/>
  <c r="X275" i="69"/>
  <c r="X181" i="69"/>
  <c r="Y181" i="69"/>
  <c r="X158" i="69"/>
  <c r="Y158" i="69"/>
  <c r="Q150" i="69"/>
  <c r="X164" i="69"/>
  <c r="Y164" i="69"/>
  <c r="X310" i="69"/>
  <c r="Y310" i="69"/>
  <c r="Q315" i="69"/>
  <c r="X293" i="69"/>
  <c r="Y293" i="69"/>
  <c r="X273" i="69"/>
  <c r="Y273" i="69"/>
  <c r="X283" i="69"/>
  <c r="X246" i="69"/>
  <c r="Y246" i="69"/>
  <c r="Q272" i="69"/>
  <c r="Q151" i="69"/>
  <c r="T151" i="69"/>
  <c r="R151" i="69"/>
  <c r="S177" i="69"/>
  <c r="Z177" i="69"/>
  <c r="Z221" i="69"/>
  <c r="Z228" i="69"/>
  <c r="Z205" i="69"/>
  <c r="S320" i="69"/>
  <c r="Z320" i="69"/>
  <c r="S129" i="69"/>
  <c r="Z129" i="69"/>
  <c r="AA383" i="69"/>
  <c r="S383" i="69"/>
  <c r="Z383" i="69"/>
  <c r="R46" i="69"/>
  <c r="U46" i="69"/>
  <c r="Y331" i="69"/>
  <c r="Y176" i="69"/>
  <c r="T176" i="69"/>
  <c r="R176" i="69"/>
  <c r="T196" i="69"/>
  <c r="R196" i="69"/>
  <c r="Y196" i="69"/>
  <c r="Z16" i="69"/>
  <c r="S299" i="69"/>
  <c r="Z299" i="69"/>
  <c r="AA299" i="69"/>
  <c r="S389" i="69"/>
  <c r="Z389" i="69"/>
  <c r="S142" i="69"/>
  <c r="Z142" i="69"/>
  <c r="AA142" i="69"/>
  <c r="AA143" i="69"/>
  <c r="S143" i="69"/>
  <c r="Z143" i="69"/>
  <c r="S76" i="69"/>
  <c r="Z76" i="69"/>
  <c r="S193" i="69"/>
  <c r="Z193" i="69"/>
  <c r="AA193" i="69"/>
  <c r="S134" i="69"/>
  <c r="Z134" i="69"/>
  <c r="AA134" i="69"/>
  <c r="S351" i="69"/>
  <c r="Z351" i="69"/>
  <c r="T183" i="69"/>
  <c r="R183" i="69"/>
  <c r="Y183" i="69"/>
  <c r="AA342" i="69"/>
  <c r="S342" i="69"/>
  <c r="Z342" i="69"/>
  <c r="Z144" i="69"/>
  <c r="AA144" i="69"/>
  <c r="AA264" i="69"/>
  <c r="S264" i="69"/>
  <c r="Z264" i="69"/>
  <c r="S363" i="69"/>
  <c r="Z363" i="69"/>
  <c r="AA363" i="69"/>
  <c r="Y20" i="69"/>
  <c r="T20" i="69"/>
  <c r="S291" i="69"/>
  <c r="Z291" i="69"/>
  <c r="AA291" i="69"/>
  <c r="Z38" i="69"/>
  <c r="S138" i="69"/>
  <c r="Z138" i="69"/>
  <c r="AA138" i="69"/>
  <c r="Z208" i="69"/>
  <c r="Z167" i="69"/>
  <c r="Z301" i="69"/>
  <c r="Z327" i="69"/>
  <c r="S247" i="69"/>
  <c r="Z247" i="69"/>
  <c r="Z133" i="69"/>
  <c r="Q192" i="69"/>
  <c r="Q209" i="69"/>
  <c r="Z384" i="69"/>
  <c r="R74" i="69"/>
  <c r="S163" i="69"/>
  <c r="Z163" i="69"/>
  <c r="AA163" i="69"/>
  <c r="AA304" i="69"/>
  <c r="S304" i="69"/>
  <c r="Z304" i="69"/>
  <c r="AA286" i="69"/>
  <c r="S286" i="69"/>
  <c r="Z286" i="69"/>
  <c r="AA207" i="69"/>
  <c r="S207" i="69"/>
  <c r="Z207" i="69"/>
  <c r="S165" i="69"/>
  <c r="Z165" i="69"/>
  <c r="AA165" i="69"/>
  <c r="AA261" i="69"/>
  <c r="S261" i="69"/>
  <c r="Z261" i="69"/>
  <c r="S135" i="69"/>
  <c r="Z135" i="69"/>
  <c r="AA135" i="69"/>
  <c r="AA168" i="69"/>
  <c r="S168" i="69"/>
  <c r="Z168" i="69"/>
  <c r="AA387" i="69"/>
  <c r="S387" i="69"/>
  <c r="Z387" i="69"/>
  <c r="Z158" i="69"/>
  <c r="S296" i="69"/>
  <c r="Z296" i="69"/>
  <c r="AA296" i="69"/>
  <c r="AA148" i="69"/>
  <c r="S148" i="69"/>
  <c r="Z148" i="69"/>
  <c r="S160" i="69"/>
  <c r="Z160" i="69"/>
  <c r="AA160" i="69"/>
  <c r="AA127" i="69"/>
  <c r="S127" i="69"/>
  <c r="Z127" i="69"/>
  <c r="AA364" i="69"/>
  <c r="S364" i="69"/>
  <c r="Z364" i="69"/>
  <c r="Y53" i="69"/>
  <c r="AA247" i="69"/>
  <c r="Z331" i="69"/>
  <c r="AA19" i="69"/>
  <c r="S19" i="69"/>
  <c r="Z19" i="69"/>
  <c r="Z314" i="69"/>
  <c r="AA139" i="69"/>
  <c r="S139" i="69"/>
  <c r="Z139" i="69"/>
  <c r="AA379" i="69"/>
  <c r="S379" i="69"/>
  <c r="Z379" i="69"/>
  <c r="AA357" i="69"/>
  <c r="S357" i="69"/>
  <c r="Z357" i="69"/>
  <c r="AA255" i="69"/>
  <c r="S255" i="69"/>
  <c r="Z255" i="69"/>
  <c r="S280" i="69"/>
  <c r="Z280" i="69"/>
  <c r="AA280" i="69"/>
  <c r="AA128" i="69"/>
  <c r="S128" i="69"/>
  <c r="Z128" i="69"/>
  <c r="AA285" i="69"/>
  <c r="S285" i="69"/>
  <c r="Z285" i="69"/>
  <c r="S358" i="69"/>
  <c r="Z358" i="69"/>
  <c r="AA358" i="69"/>
  <c r="AA288" i="69"/>
  <c r="S288" i="69"/>
  <c r="Z288" i="69"/>
  <c r="S259" i="69"/>
  <c r="Z259" i="69"/>
  <c r="AA259" i="69"/>
  <c r="AA328" i="69"/>
  <c r="S328" i="69"/>
  <c r="Z328" i="69"/>
  <c r="S154" i="69"/>
  <c r="Z154" i="69"/>
  <c r="AA154" i="69"/>
  <c r="AA373" i="69"/>
  <c r="Z373" i="69"/>
  <c r="AA152" i="69"/>
  <c r="S152" i="69"/>
  <c r="Z152" i="69"/>
  <c r="Z172" i="69"/>
  <c r="U22" i="69"/>
  <c r="Z202" i="69"/>
  <c r="Z273" i="69"/>
  <c r="S362" i="69"/>
  <c r="Z362" i="69"/>
  <c r="Z181" i="69"/>
  <c r="S191" i="69"/>
  <c r="Z191" i="69"/>
  <c r="Y48" i="69"/>
  <c r="S292" i="69"/>
  <c r="Z292" i="69"/>
  <c r="Y42" i="69"/>
  <c r="S341" i="69"/>
  <c r="Z341" i="69"/>
  <c r="AA341" i="69"/>
  <c r="T321" i="69"/>
  <c r="R321" i="69"/>
  <c r="Y321" i="69"/>
  <c r="O336" i="69"/>
  <c r="N336" i="69"/>
  <c r="P336" i="69"/>
  <c r="Z164" i="69"/>
  <c r="Y41" i="69"/>
  <c r="Q51" i="69"/>
  <c r="S370" i="69"/>
  <c r="Z370" i="69"/>
  <c r="Q319" i="69"/>
  <c r="X34" i="69"/>
  <c r="Y34" i="69"/>
  <c r="Q367" i="69"/>
  <c r="X73" i="69"/>
  <c r="Q201" i="69"/>
  <c r="Q335" i="69"/>
  <c r="Q381" i="69"/>
  <c r="X148" i="69"/>
  <c r="Y148" i="69"/>
  <c r="X341" i="69"/>
  <c r="Y341" i="69"/>
  <c r="Q269" i="69"/>
  <c r="X210" i="69"/>
  <c r="X233" i="69"/>
  <c r="X352" i="69"/>
  <c r="Y352" i="69"/>
  <c r="X301" i="69"/>
  <c r="Y301" i="69"/>
  <c r="Q366" i="69"/>
  <c r="X162" i="69"/>
  <c r="Y162" i="69"/>
  <c r="X122" i="69"/>
  <c r="Y122" i="69"/>
  <c r="X297" i="69"/>
  <c r="Y297" i="69"/>
  <c r="Q281" i="69"/>
  <c r="X287" i="69"/>
  <c r="X254" i="69"/>
  <c r="Y254" i="69"/>
  <c r="X226" i="69"/>
  <c r="X188" i="69"/>
  <c r="Q188" i="69"/>
  <c r="X390" i="69"/>
  <c r="X163" i="69"/>
  <c r="Y163" i="69"/>
  <c r="X227" i="69"/>
  <c r="Q227" i="69"/>
  <c r="Q211" i="69"/>
  <c r="X211" i="69"/>
  <c r="Q277" i="69"/>
  <c r="X277" i="69"/>
  <c r="X204" i="69"/>
  <c r="Q204" i="69"/>
  <c r="Q179" i="69"/>
  <c r="X179" i="69"/>
  <c r="X189" i="69"/>
  <c r="Q189" i="69"/>
  <c r="X345" i="69"/>
  <c r="Q345" i="69"/>
  <c r="X151" i="69"/>
  <c r="Y151" i="69"/>
  <c r="Q28" i="69"/>
  <c r="Q137" i="69"/>
  <c r="X332" i="69"/>
  <c r="Y332" i="69"/>
  <c r="Q231" i="69"/>
  <c r="O186" i="69"/>
  <c r="Q186" i="69"/>
  <c r="Q283" i="69"/>
  <c r="Q260" i="69"/>
  <c r="Q238" i="69"/>
  <c r="Q52" i="69"/>
  <c r="Q279" i="69"/>
  <c r="P198" i="69"/>
  <c r="O198" i="69"/>
  <c r="N198" i="69"/>
  <c r="P230" i="69"/>
  <c r="O230" i="69"/>
  <c r="N230" i="69"/>
  <c r="P215" i="69"/>
  <c r="O215" i="69"/>
  <c r="N240" i="69"/>
  <c r="P240" i="69"/>
  <c r="P214" i="69"/>
  <c r="O214" i="69"/>
  <c r="N214" i="69"/>
  <c r="P199" i="69"/>
  <c r="O199" i="69"/>
  <c r="N199" i="69"/>
  <c r="T317" i="69"/>
  <c r="R317" i="69"/>
  <c r="Y317" i="69"/>
  <c r="AA219" i="69"/>
  <c r="S219" i="69"/>
  <c r="Z219" i="69"/>
  <c r="T234" i="69"/>
  <c r="R234" i="69"/>
  <c r="T39" i="69"/>
  <c r="T333" i="69"/>
  <c r="R333" i="69"/>
  <c r="AA333" i="69"/>
  <c r="S333" i="69"/>
  <c r="Z333" i="69"/>
  <c r="S225" i="69"/>
  <c r="Z225" i="69"/>
  <c r="AA225" i="69"/>
  <c r="Y333" i="69"/>
  <c r="Q187" i="69"/>
  <c r="Q121" i="69"/>
  <c r="X307" i="69"/>
  <c r="T26" i="69"/>
  <c r="Y26" i="69"/>
  <c r="S356" i="69"/>
  <c r="Z356" i="69"/>
  <c r="AA356" i="69"/>
  <c r="Q224" i="69"/>
  <c r="Q343" i="69"/>
  <c r="X312" i="69"/>
  <c r="X195" i="69"/>
  <c r="X39" i="69"/>
  <c r="Y39" i="69"/>
  <c r="X215" i="69"/>
  <c r="X336" i="69"/>
  <c r="Q325" i="69"/>
  <c r="Y325" i="69"/>
  <c r="Y219" i="69"/>
  <c r="X289" i="69"/>
  <c r="R98" i="69"/>
  <c r="U98" i="69"/>
  <c r="T197" i="69"/>
  <c r="R197" i="69"/>
  <c r="S197" i="69"/>
  <c r="Q124" i="69"/>
  <c r="T124" i="69"/>
  <c r="R124" i="69"/>
  <c r="AA124" i="69"/>
  <c r="S124" i="69"/>
  <c r="Z124" i="69"/>
  <c r="X234" i="69"/>
  <c r="Y234" i="69"/>
  <c r="T325" i="69"/>
  <c r="R325" i="69"/>
  <c r="AA325" i="69"/>
  <c r="Q180" i="69"/>
  <c r="Q329" i="69"/>
  <c r="X316" i="69"/>
  <c r="Q232" i="69"/>
  <c r="X190" i="69"/>
  <c r="Q324" i="69"/>
  <c r="T318" i="69"/>
  <c r="R318" i="69"/>
  <c r="S318" i="69"/>
  <c r="Z318" i="69"/>
  <c r="R58" i="69"/>
  <c r="U58" i="69"/>
  <c r="V58" i="69"/>
  <c r="Y225" i="69"/>
  <c r="AA122" i="69"/>
  <c r="S122" i="69"/>
  <c r="Z122" i="69"/>
  <c r="S349" i="69"/>
  <c r="Z349" i="69"/>
  <c r="AA349" i="69"/>
  <c r="T47" i="69"/>
  <c r="T29" i="69"/>
  <c r="T41" i="69"/>
  <c r="Y24" i="69"/>
  <c r="AA318" i="69"/>
  <c r="S297" i="69"/>
  <c r="Z297" i="69"/>
  <c r="AA297" i="69"/>
  <c r="Y224" i="69"/>
  <c r="Y197" i="69"/>
  <c r="R53" i="69"/>
  <c r="U53" i="69"/>
  <c r="V53" i="69"/>
  <c r="Y124" i="69"/>
  <c r="T256" i="69"/>
  <c r="R256" i="69"/>
  <c r="AA256" i="69"/>
  <c r="Y195" i="69"/>
  <c r="T195" i="69"/>
  <c r="R195" i="69"/>
  <c r="S325" i="69"/>
  <c r="Z325" i="69"/>
  <c r="T287" i="69"/>
  <c r="R287" i="69"/>
  <c r="AA287" i="69"/>
  <c r="T306" i="69"/>
  <c r="R306" i="69"/>
  <c r="AA306" i="69"/>
  <c r="T329" i="69"/>
  <c r="R329" i="69"/>
  <c r="AA329" i="69"/>
  <c r="Q214" i="69"/>
  <c r="Y287" i="69"/>
  <c r="Y315" i="69"/>
  <c r="T315" i="69"/>
  <c r="R315" i="69"/>
  <c r="T312" i="69"/>
  <c r="R312" i="69"/>
  <c r="Y312" i="69"/>
  <c r="Y157" i="69"/>
  <c r="T157" i="69"/>
  <c r="R157" i="69"/>
  <c r="X282" i="69"/>
  <c r="Q282" i="69"/>
  <c r="Q217" i="69"/>
  <c r="Q323" i="69"/>
  <c r="Q316" i="69"/>
  <c r="Q289" i="69"/>
  <c r="X232" i="69"/>
  <c r="T132" i="69"/>
  <c r="R132" i="69"/>
  <c r="Y132" i="69"/>
  <c r="T348" i="69"/>
  <c r="R348" i="69"/>
  <c r="Y348" i="69"/>
  <c r="X279" i="69"/>
  <c r="Y69" i="69"/>
  <c r="T69" i="69"/>
  <c r="X326" i="69"/>
  <c r="Q257" i="69"/>
  <c r="Q249" i="69"/>
  <c r="X249" i="69"/>
  <c r="Q233" i="69"/>
  <c r="T233" i="69"/>
  <c r="R233" i="69"/>
  <c r="AA233" i="69"/>
  <c r="AA313" i="69"/>
  <c r="S313" i="69"/>
  <c r="Z313" i="69"/>
  <c r="S388" i="69"/>
  <c r="Z388" i="69"/>
  <c r="AA388" i="69"/>
  <c r="Y44" i="69"/>
  <c r="T44" i="69"/>
  <c r="Y292" i="69"/>
  <c r="Y388" i="69"/>
  <c r="AA65" i="69"/>
  <c r="S65" i="69"/>
  <c r="Z65" i="69"/>
  <c r="AA64" i="69"/>
  <c r="S64" i="69"/>
  <c r="Z64" i="69"/>
  <c r="X187" i="69"/>
  <c r="Y187" i="69"/>
  <c r="Y229" i="69"/>
  <c r="T229" i="69"/>
  <c r="R229" i="69"/>
  <c r="T322" i="69"/>
  <c r="R322" i="69"/>
  <c r="Y322" i="69"/>
  <c r="T359" i="69"/>
  <c r="R359" i="69"/>
  <c r="Y359" i="69"/>
  <c r="T159" i="69"/>
  <c r="R159" i="69"/>
  <c r="Y159" i="69"/>
  <c r="T308" i="69"/>
  <c r="R308" i="69"/>
  <c r="X284" i="69"/>
  <c r="Q284" i="69"/>
  <c r="T156" i="69"/>
  <c r="R156" i="69"/>
  <c r="T232" i="69"/>
  <c r="R232" i="69"/>
  <c r="Y232" i="69"/>
  <c r="T121" i="69"/>
  <c r="R121" i="69"/>
  <c r="S121" i="69"/>
  <c r="X263" i="69"/>
  <c r="Q263" i="69"/>
  <c r="X295" i="69"/>
  <c r="T290" i="69"/>
  <c r="R290" i="69"/>
  <c r="Y290" i="69"/>
  <c r="S162" i="69"/>
  <c r="Z162" i="69"/>
  <c r="AA162" i="69"/>
  <c r="Y36" i="69"/>
  <c r="X149" i="69"/>
  <c r="Q339" i="69"/>
  <c r="X339" i="69"/>
  <c r="Q326" i="69"/>
  <c r="T324" i="69"/>
  <c r="R324" i="69"/>
  <c r="X257" i="69"/>
  <c r="X203" i="69"/>
  <c r="Q203" i="69"/>
  <c r="T365" i="69"/>
  <c r="R365" i="69"/>
  <c r="Y365" i="69"/>
  <c r="Y255" i="69"/>
  <c r="Y308" i="69"/>
  <c r="AA151" i="69"/>
  <c r="S151" i="69"/>
  <c r="Z151" i="69"/>
  <c r="S120" i="69"/>
  <c r="Z120" i="69"/>
  <c r="AA120" i="69"/>
  <c r="T63" i="69"/>
  <c r="T33" i="69"/>
  <c r="U36" i="69"/>
  <c r="W36" i="69"/>
  <c r="V36" i="69"/>
  <c r="R36" i="69"/>
  <c r="Q305" i="69"/>
  <c r="T48" i="69"/>
  <c r="X156" i="69"/>
  <c r="Y156" i="69"/>
  <c r="X329" i="69"/>
  <c r="Y329" i="69"/>
  <c r="X270" i="69"/>
  <c r="Q270" i="69"/>
  <c r="X235" i="69"/>
  <c r="Q235" i="69"/>
  <c r="X243" i="69"/>
  <c r="Q243" i="69"/>
  <c r="Q190" i="69"/>
  <c r="Q185" i="69"/>
  <c r="T185" i="69"/>
  <c r="R185" i="69"/>
  <c r="X185" i="69"/>
  <c r="Q140" i="69"/>
  <c r="Q73" i="69"/>
  <c r="Y73" i="69"/>
  <c r="Q295" i="69"/>
  <c r="Q226" i="69"/>
  <c r="T226" i="69"/>
  <c r="R226" i="69"/>
  <c r="Y33" i="69"/>
  <c r="Q149" i="69"/>
  <c r="Q307" i="69"/>
  <c r="X324" i="69"/>
  <c r="Y324" i="69"/>
  <c r="X300" i="69"/>
  <c r="Q300" i="69"/>
  <c r="X200" i="69"/>
  <c r="Q200" i="69"/>
  <c r="Q182" i="69"/>
  <c r="X43" i="69"/>
  <c r="Q43" i="69"/>
  <c r="Y364" i="69"/>
  <c r="S37" i="69"/>
  <c r="Z37" i="69"/>
  <c r="AA37" i="69"/>
  <c r="AA57" i="69"/>
  <c r="S57" i="69"/>
  <c r="Z57" i="69"/>
  <c r="Q210" i="69"/>
  <c r="Y210" i="69"/>
  <c r="Y272" i="69"/>
  <c r="T272" i="69"/>
  <c r="R272" i="69"/>
  <c r="Y150" i="69"/>
  <c r="T150" i="69"/>
  <c r="R150" i="69"/>
  <c r="Y275" i="69"/>
  <c r="T275" i="69"/>
  <c r="R275" i="69"/>
  <c r="S332" i="69"/>
  <c r="Z332" i="69"/>
  <c r="AA332" i="69"/>
  <c r="Y130" i="69"/>
  <c r="T130" i="69"/>
  <c r="R130" i="69"/>
  <c r="T27" i="69"/>
  <c r="Y27" i="69"/>
  <c r="Y161" i="69"/>
  <c r="T161" i="69"/>
  <c r="R161" i="69"/>
  <c r="X218" i="69"/>
  <c r="Q218" i="69"/>
  <c r="T180" i="69"/>
  <c r="R180" i="69"/>
  <c r="AA180" i="69"/>
  <c r="Y180" i="69"/>
  <c r="Y63" i="69"/>
  <c r="X137" i="69"/>
  <c r="S329" i="69"/>
  <c r="Z329" i="69"/>
  <c r="Q258" i="69"/>
  <c r="T258" i="69"/>
  <c r="R258" i="69"/>
  <c r="T187" i="69"/>
  <c r="R187" i="69"/>
  <c r="X121" i="69"/>
  <c r="Y121" i="69"/>
  <c r="T210" i="69"/>
  <c r="R210" i="69"/>
  <c r="AA210" i="69"/>
  <c r="T56" i="69"/>
  <c r="Y56" i="69"/>
  <c r="X298" i="69"/>
  <c r="Q298" i="69"/>
  <c r="Q242" i="69"/>
  <c r="X242" i="69"/>
  <c r="X182" i="69"/>
  <c r="S287" i="69"/>
  <c r="Z287" i="69"/>
  <c r="S306" i="69"/>
  <c r="Z306" i="69"/>
  <c r="X306" i="69"/>
  <c r="Y306" i="69"/>
  <c r="T42" i="69"/>
  <c r="T31" i="69"/>
  <c r="Y31" i="69"/>
  <c r="Y120" i="69"/>
  <c r="Y191" i="69"/>
  <c r="AA24" i="69"/>
  <c r="S24" i="69"/>
  <c r="Z24" i="69"/>
  <c r="T214" i="69"/>
  <c r="R214" i="69"/>
  <c r="AA214" i="69"/>
  <c r="X198" i="69"/>
  <c r="Q198" i="69"/>
  <c r="Y52" i="69"/>
  <c r="T52" i="69"/>
  <c r="T28" i="69"/>
  <c r="Y28" i="69"/>
  <c r="X214" i="69"/>
  <c r="Y214" i="69"/>
  <c r="Y277" i="69"/>
  <c r="T277" i="69"/>
  <c r="R277" i="69"/>
  <c r="X230" i="69"/>
  <c r="Q230" i="69"/>
  <c r="Y238" i="69"/>
  <c r="T238" i="69"/>
  <c r="R238" i="69"/>
  <c r="T231" i="69"/>
  <c r="R231" i="69"/>
  <c r="Y231" i="69"/>
  <c r="Y189" i="69"/>
  <c r="T189" i="69"/>
  <c r="R189" i="69"/>
  <c r="Y204" i="69"/>
  <c r="T204" i="69"/>
  <c r="R204" i="69"/>
  <c r="Y281" i="69"/>
  <c r="T281" i="69"/>
  <c r="R281" i="69"/>
  <c r="T366" i="69"/>
  <c r="R366" i="69"/>
  <c r="Y366" i="69"/>
  <c r="Y381" i="69"/>
  <c r="T381" i="69"/>
  <c r="R381" i="69"/>
  <c r="Y367" i="69"/>
  <c r="T367" i="69"/>
  <c r="R367" i="69"/>
  <c r="Y51" i="69"/>
  <c r="T51" i="69"/>
  <c r="AA196" i="69"/>
  <c r="S196" i="69"/>
  <c r="Z196" i="69"/>
  <c r="X240" i="69"/>
  <c r="Q240" i="69"/>
  <c r="Y260" i="69"/>
  <c r="T260" i="69"/>
  <c r="R260" i="69"/>
  <c r="Y345" i="69"/>
  <c r="T345" i="69"/>
  <c r="R345" i="69"/>
  <c r="T211" i="69"/>
  <c r="R211" i="69"/>
  <c r="Y211" i="69"/>
  <c r="Y269" i="69"/>
  <c r="T269" i="69"/>
  <c r="R269" i="69"/>
  <c r="T335" i="69"/>
  <c r="R335" i="69"/>
  <c r="Y335" i="69"/>
  <c r="Y209" i="69"/>
  <c r="T209" i="69"/>
  <c r="R209" i="69"/>
  <c r="V20" i="69"/>
  <c r="R20" i="69"/>
  <c r="W20" i="69"/>
  <c r="U20" i="69"/>
  <c r="AA183" i="69"/>
  <c r="S183" i="69"/>
  <c r="Z183" i="69"/>
  <c r="AA176" i="69"/>
  <c r="S176" i="69"/>
  <c r="Z176" i="69"/>
  <c r="AA46" i="69"/>
  <c r="S46" i="69"/>
  <c r="Z46" i="69"/>
  <c r="X199" i="69"/>
  <c r="Q199" i="69"/>
  <c r="Q215" i="69"/>
  <c r="Y279" i="69"/>
  <c r="T279" i="69"/>
  <c r="R279" i="69"/>
  <c r="T283" i="69"/>
  <c r="R283" i="69"/>
  <c r="Y283" i="69"/>
  <c r="T137" i="69"/>
  <c r="R137" i="69"/>
  <c r="Y137" i="69"/>
  <c r="T227" i="69"/>
  <c r="R227" i="69"/>
  <c r="Y227" i="69"/>
  <c r="Y201" i="69"/>
  <c r="T201" i="69"/>
  <c r="R201" i="69"/>
  <c r="Y319" i="69"/>
  <c r="T319" i="69"/>
  <c r="R319" i="69"/>
  <c r="AA74" i="69"/>
  <c r="S74" i="69"/>
  <c r="Z74" i="69"/>
  <c r="Y192" i="69"/>
  <c r="T192" i="69"/>
  <c r="R192" i="69"/>
  <c r="X186" i="69"/>
  <c r="Y186" i="69"/>
  <c r="T186" i="69"/>
  <c r="R186" i="69"/>
  <c r="Y179" i="69"/>
  <c r="T179" i="69"/>
  <c r="R179" i="69"/>
  <c r="Y188" i="69"/>
  <c r="T188" i="69"/>
  <c r="R188" i="69"/>
  <c r="Q336" i="69"/>
  <c r="AA321" i="69"/>
  <c r="S321" i="69"/>
  <c r="Z321" i="69"/>
  <c r="Y343" i="69"/>
  <c r="T343" i="69"/>
  <c r="R343" i="69"/>
  <c r="AA53" i="69"/>
  <c r="S53" i="69"/>
  <c r="Z53" i="69"/>
  <c r="R39" i="69"/>
  <c r="W39" i="69"/>
  <c r="V39" i="69"/>
  <c r="U39" i="69"/>
  <c r="U29" i="69"/>
  <c r="W29" i="69"/>
  <c r="R29" i="69"/>
  <c r="S256" i="69"/>
  <c r="Z256" i="69"/>
  <c r="T224" i="69"/>
  <c r="R224" i="69"/>
  <c r="U26" i="69"/>
  <c r="R26" i="69"/>
  <c r="W26" i="69"/>
  <c r="V26" i="69"/>
  <c r="AA195" i="69"/>
  <c r="S195" i="69"/>
  <c r="Z195" i="69"/>
  <c r="AA197" i="69"/>
  <c r="Z197" i="69"/>
  <c r="U41" i="69"/>
  <c r="W41" i="69"/>
  <c r="V41" i="69"/>
  <c r="R41" i="69"/>
  <c r="U47" i="69"/>
  <c r="V47" i="69"/>
  <c r="R47" i="69"/>
  <c r="S58" i="69"/>
  <c r="AA58" i="69"/>
  <c r="Z58" i="69"/>
  <c r="AA98" i="69"/>
  <c r="S98" i="69"/>
  <c r="Z98" i="69"/>
  <c r="S234" i="69"/>
  <c r="Z234" i="69"/>
  <c r="AA234" i="69"/>
  <c r="S317" i="69"/>
  <c r="Z317" i="69"/>
  <c r="AA317" i="69"/>
  <c r="U27" i="69"/>
  <c r="W27" i="69"/>
  <c r="V27" i="69"/>
  <c r="R27" i="69"/>
  <c r="Y295" i="69"/>
  <c r="T295" i="69"/>
  <c r="R295" i="69"/>
  <c r="T298" i="69"/>
  <c r="R298" i="69"/>
  <c r="Y298" i="69"/>
  <c r="R56" i="69"/>
  <c r="U56" i="69"/>
  <c r="V56" i="69"/>
  <c r="AA187" i="69"/>
  <c r="S187" i="69"/>
  <c r="Z187" i="69"/>
  <c r="AA161" i="69"/>
  <c r="S161" i="69"/>
  <c r="Z161" i="69"/>
  <c r="AA130" i="69"/>
  <c r="S130" i="69"/>
  <c r="Z130" i="69"/>
  <c r="AA275" i="69"/>
  <c r="S275" i="69"/>
  <c r="Z275" i="69"/>
  <c r="S272" i="69"/>
  <c r="Z272" i="69"/>
  <c r="AA272" i="69"/>
  <c r="Y43" i="69"/>
  <c r="T43" i="69"/>
  <c r="S210" i="69"/>
  <c r="Z210" i="69"/>
  <c r="T140" i="69"/>
  <c r="R140" i="69"/>
  <c r="Y140" i="69"/>
  <c r="T190" i="69"/>
  <c r="R190" i="69"/>
  <c r="Y190" i="69"/>
  <c r="R48" i="69"/>
  <c r="U48" i="69"/>
  <c r="U33" i="69"/>
  <c r="W33" i="69"/>
  <c r="V33" i="69"/>
  <c r="R33" i="69"/>
  <c r="T339" i="69"/>
  <c r="R339" i="69"/>
  <c r="Y339" i="69"/>
  <c r="Y258" i="69"/>
  <c r="Y284" i="69"/>
  <c r="T284" i="69"/>
  <c r="R284" i="69"/>
  <c r="AA229" i="69"/>
  <c r="S229" i="69"/>
  <c r="Z229" i="69"/>
  <c r="T249" i="69"/>
  <c r="R249" i="69"/>
  <c r="Y249" i="69"/>
  <c r="T323" i="69"/>
  <c r="R323" i="69"/>
  <c r="Y323" i="69"/>
  <c r="V42" i="69"/>
  <c r="R42" i="69"/>
  <c r="U42" i="69"/>
  <c r="W42" i="69"/>
  <c r="S258" i="69"/>
  <c r="Z258" i="69"/>
  <c r="AA258" i="69"/>
  <c r="T218" i="69"/>
  <c r="R218" i="69"/>
  <c r="Y218" i="69"/>
  <c r="T307" i="69"/>
  <c r="R307" i="69"/>
  <c r="Y307" i="69"/>
  <c r="AA226" i="69"/>
  <c r="S226" i="69"/>
  <c r="Z226" i="69"/>
  <c r="Y185" i="69"/>
  <c r="T243" i="69"/>
  <c r="R243" i="69"/>
  <c r="Y243" i="69"/>
  <c r="T270" i="69"/>
  <c r="R270" i="69"/>
  <c r="Y270" i="69"/>
  <c r="Z121" i="69"/>
  <c r="AA121" i="69"/>
  <c r="S359" i="69"/>
  <c r="Z359" i="69"/>
  <c r="AA359" i="69"/>
  <c r="S233" i="69"/>
  <c r="Z233" i="69"/>
  <c r="Y257" i="69"/>
  <c r="T257" i="69"/>
  <c r="R257" i="69"/>
  <c r="U69" i="69"/>
  <c r="V69" i="69"/>
  <c r="R69" i="69"/>
  <c r="S348" i="69"/>
  <c r="Z348" i="69"/>
  <c r="AA348" i="69"/>
  <c r="S180" i="69"/>
  <c r="Z180" i="69"/>
  <c r="AA312" i="69"/>
  <c r="S312" i="69"/>
  <c r="Z312" i="69"/>
  <c r="AA150" i="69"/>
  <c r="S150" i="69"/>
  <c r="Z150" i="69"/>
  <c r="Y182" i="69"/>
  <c r="T182" i="69"/>
  <c r="R182" i="69"/>
  <c r="T300" i="69"/>
  <c r="R300" i="69"/>
  <c r="Y300" i="69"/>
  <c r="S185" i="69"/>
  <c r="Z185" i="69"/>
  <c r="AA185" i="69"/>
  <c r="Y305" i="69"/>
  <c r="T305" i="69"/>
  <c r="R305" i="69"/>
  <c r="R63" i="69"/>
  <c r="U63" i="69"/>
  <c r="V63" i="69"/>
  <c r="Y203" i="69"/>
  <c r="T203" i="69"/>
  <c r="R203" i="69"/>
  <c r="T326" i="69"/>
  <c r="R326" i="69"/>
  <c r="Y326" i="69"/>
  <c r="T263" i="69"/>
  <c r="R263" i="69"/>
  <c r="Y263" i="69"/>
  <c r="AA159" i="69"/>
  <c r="S159" i="69"/>
  <c r="Z159" i="69"/>
  <c r="R44" i="69"/>
  <c r="U44" i="69"/>
  <c r="T289" i="69"/>
  <c r="R289" i="69"/>
  <c r="Y289" i="69"/>
  <c r="T217" i="69"/>
  <c r="R217" i="69"/>
  <c r="Y217" i="69"/>
  <c r="S157" i="69"/>
  <c r="Z157" i="69"/>
  <c r="AA157" i="69"/>
  <c r="Y233" i="69"/>
  <c r="Y149" i="69"/>
  <c r="T149" i="69"/>
  <c r="R149" i="69"/>
  <c r="W31" i="69"/>
  <c r="R31" i="69"/>
  <c r="U31" i="69"/>
  <c r="Y242" i="69"/>
  <c r="T242" i="69"/>
  <c r="R242" i="69"/>
  <c r="Y200" i="69"/>
  <c r="T200" i="69"/>
  <c r="R200" i="69"/>
  <c r="T73" i="69"/>
  <c r="Y235" i="69"/>
  <c r="T235" i="69"/>
  <c r="R235" i="69"/>
  <c r="S36" i="69"/>
  <c r="Z36" i="69"/>
  <c r="AA36" i="69"/>
  <c r="Y226" i="69"/>
  <c r="S365" i="69"/>
  <c r="Z365" i="69"/>
  <c r="AA365" i="69"/>
  <c r="S324" i="69"/>
  <c r="Z324" i="69"/>
  <c r="AA324" i="69"/>
  <c r="S290" i="69"/>
  <c r="Z290" i="69"/>
  <c r="AA290" i="69"/>
  <c r="AA232" i="69"/>
  <c r="S232" i="69"/>
  <c r="Z232" i="69"/>
  <c r="S156" i="69"/>
  <c r="Z156" i="69"/>
  <c r="AA156" i="69"/>
  <c r="S308" i="69"/>
  <c r="Z308" i="69"/>
  <c r="AA308" i="69"/>
  <c r="AA322" i="69"/>
  <c r="S322" i="69"/>
  <c r="Z322" i="69"/>
  <c r="AA132" i="69"/>
  <c r="S132" i="69"/>
  <c r="Z132" i="69"/>
  <c r="Y316" i="69"/>
  <c r="T316" i="69"/>
  <c r="R316" i="69"/>
  <c r="T282" i="69"/>
  <c r="R282" i="69"/>
  <c r="Y282" i="69"/>
  <c r="S315" i="69"/>
  <c r="Z315" i="69"/>
  <c r="AA315" i="69"/>
  <c r="AA186" i="69"/>
  <c r="S186" i="69"/>
  <c r="AA188" i="69"/>
  <c r="S188" i="69"/>
  <c r="Z188" i="69"/>
  <c r="Y336" i="69"/>
  <c r="T336" i="69"/>
  <c r="R336" i="69"/>
  <c r="Z186" i="69"/>
  <c r="AA192" i="69"/>
  <c r="S192" i="69"/>
  <c r="Z192" i="69"/>
  <c r="AA283" i="69"/>
  <c r="S283" i="69"/>
  <c r="Z283" i="69"/>
  <c r="AA269" i="69"/>
  <c r="S269" i="69"/>
  <c r="Z269" i="69"/>
  <c r="Y240" i="69"/>
  <c r="T240" i="69"/>
  <c r="R240" i="69"/>
  <c r="AA366" i="69"/>
  <c r="S366" i="69"/>
  <c r="Z366" i="69"/>
  <c r="R28" i="69"/>
  <c r="U28" i="69"/>
  <c r="V28" i="69"/>
  <c r="W28" i="69"/>
  <c r="S137" i="69"/>
  <c r="AA137" i="69"/>
  <c r="T215" i="69"/>
  <c r="R215" i="69"/>
  <c r="Y215" i="69"/>
  <c r="AA211" i="69"/>
  <c r="S211" i="69"/>
  <c r="AA367" i="69"/>
  <c r="S367" i="69"/>
  <c r="S381" i="69"/>
  <c r="Z381" i="69"/>
  <c r="AA381" i="69"/>
  <c r="AA189" i="69"/>
  <c r="S189" i="69"/>
  <c r="Z189" i="69"/>
  <c r="AA231" i="69"/>
  <c r="S231" i="69"/>
  <c r="T230" i="69"/>
  <c r="R230" i="69"/>
  <c r="Y230" i="69"/>
  <c r="Y198" i="69"/>
  <c r="T198" i="69"/>
  <c r="R198" i="69"/>
  <c r="S179" i="69"/>
  <c r="Z179" i="69"/>
  <c r="AA179" i="69"/>
  <c r="AA201" i="69"/>
  <c r="S201" i="69"/>
  <c r="Z201" i="69"/>
  <c r="AA279" i="69"/>
  <c r="S279" i="69"/>
  <c r="Z279" i="69"/>
  <c r="Y199" i="69"/>
  <c r="T199" i="69"/>
  <c r="R199" i="69"/>
  <c r="S209" i="69"/>
  <c r="Z209" i="69"/>
  <c r="AA209" i="69"/>
  <c r="S345" i="69"/>
  <c r="AA345" i="69"/>
  <c r="AA260" i="69"/>
  <c r="S260" i="69"/>
  <c r="Z260" i="69"/>
  <c r="U51" i="69"/>
  <c r="V51" i="69"/>
  <c r="R51" i="69"/>
  <c r="Z367" i="69"/>
  <c r="AA204" i="69"/>
  <c r="S204" i="69"/>
  <c r="Z204" i="69"/>
  <c r="S277" i="69"/>
  <c r="Z277" i="69"/>
  <c r="AA277" i="69"/>
  <c r="S227" i="69"/>
  <c r="AA227" i="69"/>
  <c r="Z227" i="69"/>
  <c r="AA319" i="69"/>
  <c r="S319" i="69"/>
  <c r="Z319" i="69"/>
  <c r="Z137" i="69"/>
  <c r="AA20" i="69"/>
  <c r="S20" i="69"/>
  <c r="Z20" i="69"/>
  <c r="S335" i="69"/>
  <c r="Z335" i="69"/>
  <c r="AA335" i="69"/>
  <c r="Z211" i="69"/>
  <c r="Z345" i="69"/>
  <c r="AA281" i="69"/>
  <c r="S281" i="69"/>
  <c r="Z281" i="69"/>
  <c r="Z231" i="69"/>
  <c r="AA238" i="69"/>
  <c r="S238" i="69"/>
  <c r="Z238" i="69"/>
  <c r="R52" i="69"/>
  <c r="U52" i="69"/>
  <c r="V52" i="69"/>
  <c r="S214" i="69"/>
  <c r="Z214" i="69"/>
  <c r="S224" i="69"/>
  <c r="Z224" i="69"/>
  <c r="AA29" i="69"/>
  <c r="S29" i="69"/>
  <c r="Z29" i="69"/>
  <c r="AA41" i="69"/>
  <c r="S41" i="69"/>
  <c r="Z41" i="69"/>
  <c r="AA47" i="69"/>
  <c r="S47" i="69"/>
  <c r="Z47" i="69"/>
  <c r="AA224" i="69"/>
  <c r="S343" i="69"/>
  <c r="Z343" i="69"/>
  <c r="AA343" i="69"/>
  <c r="S26" i="69"/>
  <c r="AA26" i="69"/>
  <c r="Z26" i="69"/>
  <c r="AA39" i="69"/>
  <c r="S39" i="69"/>
  <c r="Z39" i="69"/>
  <c r="S235" i="69"/>
  <c r="Z235" i="69"/>
  <c r="AA235" i="69"/>
  <c r="AA149" i="69"/>
  <c r="S149" i="69"/>
  <c r="AA316" i="69"/>
  <c r="S316" i="69"/>
  <c r="Z316" i="69"/>
  <c r="Z149" i="69"/>
  <c r="AA44" i="69"/>
  <c r="S44" i="69"/>
  <c r="Z44" i="69"/>
  <c r="AA326" i="69"/>
  <c r="S326" i="69"/>
  <c r="Z326" i="69"/>
  <c r="AA63" i="69"/>
  <c r="S63" i="69"/>
  <c r="Z63" i="69"/>
  <c r="AA300" i="69"/>
  <c r="S300" i="69"/>
  <c r="Z300" i="69"/>
  <c r="AA218" i="69"/>
  <c r="S218" i="69"/>
  <c r="Z218" i="69"/>
  <c r="AA323" i="69"/>
  <c r="S323" i="69"/>
  <c r="Z323" i="69"/>
  <c r="AA48" i="69"/>
  <c r="S48" i="69"/>
  <c r="Z48" i="69"/>
  <c r="W43" i="69"/>
  <c r="R43" i="69"/>
  <c r="U43" i="69"/>
  <c r="AA56" i="69"/>
  <c r="S56" i="69"/>
  <c r="Z56" i="69"/>
  <c r="AA31" i="69"/>
  <c r="S31" i="69"/>
  <c r="Z31" i="69"/>
  <c r="AA263" i="69"/>
  <c r="S263" i="69"/>
  <c r="Z263" i="69"/>
  <c r="S203" i="69"/>
  <c r="Z203" i="69"/>
  <c r="AA203" i="69"/>
  <c r="AA243" i="69"/>
  <c r="S243" i="69"/>
  <c r="Z243" i="69"/>
  <c r="AA42" i="69"/>
  <c r="S42" i="69"/>
  <c r="Z42" i="69"/>
  <c r="AA295" i="69"/>
  <c r="S295" i="69"/>
  <c r="Z295" i="69"/>
  <c r="AA282" i="69"/>
  <c r="S282" i="69"/>
  <c r="Z282" i="69"/>
  <c r="U73" i="69"/>
  <c r="V73" i="69"/>
  <c r="R73" i="69"/>
  <c r="AA242" i="69"/>
  <c r="S242" i="69"/>
  <c r="Z242" i="69"/>
  <c r="AA289" i="69"/>
  <c r="S289" i="69"/>
  <c r="Z289" i="69"/>
  <c r="AA305" i="69"/>
  <c r="S305" i="69"/>
  <c r="Z305" i="69"/>
  <c r="AA182" i="69"/>
  <c r="S182" i="69"/>
  <c r="Z182" i="69"/>
  <c r="AA257" i="69"/>
  <c r="S257" i="69"/>
  <c r="Z257" i="69"/>
  <c r="AA307" i="69"/>
  <c r="S307" i="69"/>
  <c r="Z307" i="69"/>
  <c r="AA284" i="69"/>
  <c r="S284" i="69"/>
  <c r="Z284" i="69"/>
  <c r="AA339" i="69"/>
  <c r="S339" i="69"/>
  <c r="Z339" i="69"/>
  <c r="AA140" i="69"/>
  <c r="S140" i="69"/>
  <c r="Z140" i="69"/>
  <c r="AA200" i="69"/>
  <c r="S200" i="69"/>
  <c r="Z200" i="69"/>
  <c r="AA217" i="69"/>
  <c r="S217" i="69"/>
  <c r="Z217" i="69"/>
  <c r="S69" i="69"/>
  <c r="Z69" i="69"/>
  <c r="AA69" i="69"/>
  <c r="AA270" i="69"/>
  <c r="S270" i="69"/>
  <c r="Z270" i="69"/>
  <c r="S249" i="69"/>
  <c r="Z249" i="69"/>
  <c r="AA249" i="69"/>
  <c r="AA33" i="69"/>
  <c r="S33" i="69"/>
  <c r="Z33" i="69"/>
  <c r="AA190" i="69"/>
  <c r="S190" i="69"/>
  <c r="Z190" i="69"/>
  <c r="AA298" i="69"/>
  <c r="S298" i="69"/>
  <c r="Z298" i="69"/>
  <c r="AA27" i="69"/>
  <c r="S27" i="69"/>
  <c r="Z27" i="69"/>
  <c r="AA52" i="69"/>
  <c r="S52" i="69"/>
  <c r="Z52" i="69"/>
  <c r="AA198" i="69"/>
  <c r="S198" i="69"/>
  <c r="Z198" i="69"/>
  <c r="AA240" i="69"/>
  <c r="S240" i="69"/>
  <c r="Z240" i="69"/>
  <c r="AA230" i="69"/>
  <c r="S230" i="69"/>
  <c r="Z230" i="69"/>
  <c r="AA28" i="69"/>
  <c r="S28" i="69"/>
  <c r="Z28" i="69"/>
  <c r="AA215" i="69"/>
  <c r="S215" i="69"/>
  <c r="Z215" i="69"/>
  <c r="AA51" i="69"/>
  <c r="S51" i="69"/>
  <c r="Z51" i="69"/>
  <c r="AA199" i="69"/>
  <c r="S199" i="69"/>
  <c r="Z199" i="69"/>
  <c r="AA336" i="69"/>
  <c r="S336" i="69"/>
  <c r="Z336" i="69"/>
  <c r="AA73" i="69"/>
  <c r="S73" i="69"/>
  <c r="Z73" i="69"/>
  <c r="AA43" i="69"/>
  <c r="S43" i="69"/>
  <c r="Z43" i="69"/>
</calcChain>
</file>

<file path=xl/comments1.xml><?xml version="1.0" encoding="utf-8"?>
<comments xmlns="http://schemas.openxmlformats.org/spreadsheetml/2006/main">
  <authors>
    <author>Teplyakova</author>
  </authors>
  <commentList>
    <comment ref="B11" authorId="0">
      <text>
        <r>
          <rPr>
            <sz val="8"/>
            <color indexed="81"/>
            <rFont val="Tahoma"/>
            <family val="2"/>
            <charset val="204"/>
          </rPr>
          <t xml:space="preserve">Вахнин А.И. перев. в бр.ТО ВДГО №5 02.08.2010 5 разр.
</t>
        </r>
      </text>
    </comment>
  </commentList>
</comments>
</file>

<file path=xl/comments2.xml><?xml version="1.0" encoding="utf-8"?>
<comments xmlns="http://schemas.openxmlformats.org/spreadsheetml/2006/main">
  <authors>
    <author>Покоева Оксана Александровна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Покоева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индивидуальном доме этой расценки не будет, остается только для расчет стоимости газопровода  с разводом по фасаду</t>
        </r>
      </text>
    </comment>
  </commentList>
</comments>
</file>

<file path=xl/comments3.xml><?xml version="1.0" encoding="utf-8"?>
<comments xmlns="http://schemas.openxmlformats.org/spreadsheetml/2006/main">
  <authors>
    <author>Pokoeva</author>
  </authors>
  <commentLis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Pokoeva:</t>
        </r>
        <r>
          <rPr>
            <sz val="8"/>
            <color indexed="81"/>
            <rFont val="Tahoma"/>
            <family val="2"/>
            <charset val="204"/>
          </rPr>
          <t xml:space="preserve">
формулы, ссылки на листы
</t>
        </r>
      </text>
    </comment>
  </commentList>
</comments>
</file>

<file path=xl/sharedStrings.xml><?xml version="1.0" encoding="utf-8"?>
<sst xmlns="http://schemas.openxmlformats.org/spreadsheetml/2006/main" count="4113" uniqueCount="1477">
  <si>
    <t>Приложение № 3 к Приказу № _____ от "____"_________ 2007 г.</t>
  </si>
  <si>
    <t>"УТВЕРЖДАЮ"</t>
  </si>
  <si>
    <t>Генеральный директор ООО "СВГК"</t>
  </si>
  <si>
    <t>_____________ С.В. Мирошниченко</t>
  </si>
  <si>
    <t>ПРЕЙСКУРАНТ ЦЕН ООО "СВГК"</t>
  </si>
  <si>
    <t xml:space="preserve">НА РАБОТЫ ПО ТЕХНИЧЕСКОЙ ЭКСПЛУАТАЦИИ ВНУТРИДОМОВОГО ГАЗОВОГО ОБОРУДОВАНИЯ, </t>
  </si>
  <si>
    <t>НАХОДЯЩЕГОСЯ ВНУТРИ ЖИЛОГО ПОМЕЩЕНИЯ В МНОГОКВАРТИРНОМ ДОМЕ</t>
  </si>
  <si>
    <t>№ п/п</t>
  </si>
  <si>
    <t>Наименование работ и газового оборудования</t>
  </si>
  <si>
    <t>Единица измерения</t>
  </si>
  <si>
    <t>Состав исполнителей</t>
  </si>
  <si>
    <t>Часовой ФОТ, руб.</t>
  </si>
  <si>
    <t>Трудозатраты на ед.изм., чел.ч.</t>
  </si>
  <si>
    <t>Фонд оплаты труда, руб.</t>
  </si>
  <si>
    <t>Дополнительная з/п 10% от ФОТ, руб.</t>
  </si>
  <si>
    <t>Соц.отчисления с з/п 26,3% от ФОТ, руб.</t>
  </si>
  <si>
    <t>Накладные расходы, 196,2% от ФОТ, руб.</t>
  </si>
  <si>
    <t>Себестоимость, руб</t>
  </si>
  <si>
    <t>Рентабельность, 10%, руб.</t>
  </si>
  <si>
    <t>НДС, 18%, руб.</t>
  </si>
  <si>
    <t>Договорная цена без округления</t>
  </si>
  <si>
    <t>Зарплата рабочих</t>
  </si>
  <si>
    <t>округвниз</t>
  </si>
  <si>
    <t>измерения</t>
  </si>
  <si>
    <t>-</t>
  </si>
  <si>
    <t>ФОТ,</t>
  </si>
  <si>
    <t>траты на</t>
  </si>
  <si>
    <t>оплаты</t>
  </si>
  <si>
    <t>без НДС</t>
  </si>
  <si>
    <t>НДС</t>
  </si>
  <si>
    <t>c НДС</t>
  </si>
  <si>
    <t>телей</t>
  </si>
  <si>
    <t>руб.</t>
  </si>
  <si>
    <t>ед.изм,</t>
  </si>
  <si>
    <t>труда,</t>
  </si>
  <si>
    <t>СВГК</t>
  </si>
  <si>
    <t>чел.ч</t>
  </si>
  <si>
    <t>1</t>
  </si>
  <si>
    <t>4</t>
  </si>
  <si>
    <t>Техническое обслуживание плиты двухгорелочной газовой</t>
  </si>
  <si>
    <t>плита</t>
  </si>
  <si>
    <t>слесарь 3 р.</t>
  </si>
  <si>
    <t>слесарь 4 р.</t>
  </si>
  <si>
    <t>2</t>
  </si>
  <si>
    <t>То же, плиты трехгорелочной</t>
  </si>
  <si>
    <t>"</t>
  </si>
  <si>
    <t>3</t>
  </si>
  <si>
    <t>То же, плиты четырехгорелочной</t>
  </si>
  <si>
    <t>Техническое обслуживание газовой плиты повышенной комфортности (оснащенной электророзжигом, автоматикой безопасности)</t>
  </si>
  <si>
    <t>5</t>
  </si>
  <si>
    <t xml:space="preserve">Техническое обслуживание ГБУ </t>
  </si>
  <si>
    <t>6</t>
  </si>
  <si>
    <t>Техническое обслуживание  проточного автоматического водонагревателя</t>
  </si>
  <si>
    <t>прибор</t>
  </si>
  <si>
    <t>слесарь 5 р.</t>
  </si>
  <si>
    <t>7</t>
  </si>
  <si>
    <t>То же, полуавтоматического водонагревателя</t>
  </si>
  <si>
    <t>8</t>
  </si>
  <si>
    <t>Техническое обслуживание емкостного водонагревателя (отопительного котла) типа АГВ</t>
  </si>
  <si>
    <t>9</t>
  </si>
  <si>
    <t>Техническое обслуживание емкостного водонагревателя (отопительного котла) типа АОГВ</t>
  </si>
  <si>
    <t>10</t>
  </si>
  <si>
    <t>Техническое обслуживание емкостного водонагревателя (отопительного котла) импортного производства мощностью до 6 кВт*</t>
  </si>
  <si>
    <t>11</t>
  </si>
  <si>
    <t>Техническое обслуживание газогорелочного устройства отопительной печи</t>
  </si>
  <si>
    <t>печь</t>
  </si>
  <si>
    <t>12</t>
  </si>
  <si>
    <t>Техническое обслуживание сигнализатора загазованности (кроме проверки контрольными смесями)</t>
  </si>
  <si>
    <t>13</t>
  </si>
  <si>
    <t>Техническое обслуживание бытового газового счетчика</t>
  </si>
  <si>
    <t>счетчик</t>
  </si>
  <si>
    <t>14</t>
  </si>
  <si>
    <t>Техническое обслуживание газового крана перед газовым прибором</t>
  </si>
  <si>
    <t>кран</t>
  </si>
  <si>
    <t>15</t>
  </si>
  <si>
    <t>Ремонтно-заявочное обслуживание  на одного абонента</t>
  </si>
  <si>
    <t>16</t>
  </si>
  <si>
    <t>Аварийное обслуживание на одного абонента</t>
  </si>
  <si>
    <t>* Стоимость технического обслуживания емкостного водонагревателя (отопительного котла) импортного производства мощностью более 6 кВт определяется отдельной сметой.</t>
  </si>
  <si>
    <t xml:space="preserve">    </t>
  </si>
  <si>
    <t>Приложение № 1 к Приказу № _____ от "____"_________ 2007 г.</t>
  </si>
  <si>
    <t>НА РАБОТЫ ПО ТЕХНИЧЕСКОЙ ЭКСПЛУАТАЦИИ ВНУТРИДОМОВОГО ГАЗОВОГО ОБОРУДОВАНИЯ В ДОМЕ ИНДИВИДУАЛЬНОЙ ЗАСТРОЙКИ</t>
  </si>
  <si>
    <t>Состав исполнителей СВГК</t>
  </si>
  <si>
    <t>Договорная цена, руб. для населения (c НДС)</t>
  </si>
  <si>
    <t>Процент роста</t>
  </si>
  <si>
    <t>Техническое обслуживание газового оборудования индивидуальной  бани (теплицы, гаража) при одной горелке (На каждую последующую горелку применять коэф. 0,7)</t>
  </si>
  <si>
    <t>горелка</t>
  </si>
  <si>
    <t>Проверка герметичности внутреннего газопровода в жилом доме индивидуальной застройки и газового оборудования мыльной эмульсией или приборным методом при количестве приборов на одном стояке до  5</t>
  </si>
  <si>
    <t>стояк</t>
  </si>
  <si>
    <t>(При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1,5)</t>
  </si>
  <si>
    <t xml:space="preserve">Техническое обслуживание задвижки (крана) на фасадном наружном газопроводе дома индивидуальной застройки диаметром </t>
  </si>
  <si>
    <t>задвижка (кран)</t>
  </si>
  <si>
    <t>до 50 мм</t>
  </si>
  <si>
    <t>51 - 100 мм</t>
  </si>
  <si>
    <t>17</t>
  </si>
  <si>
    <t>18</t>
  </si>
  <si>
    <r>
      <t xml:space="preserve">Договорная цена </t>
    </r>
    <r>
      <rPr>
        <b/>
        <sz val="12"/>
        <rFont val="Garamond"/>
        <family val="1"/>
      </rPr>
      <t>в месяц</t>
    </r>
    <r>
      <rPr>
        <sz val="12"/>
        <rFont val="Garamond"/>
        <family val="1"/>
      </rPr>
      <t>, руб. для населения (c НДС) периодичность 1 раз в 1 год</t>
    </r>
  </si>
  <si>
    <t>10 соед.</t>
  </si>
  <si>
    <t>(При работе с приставной лестницы применять  коэф. 1,2)</t>
  </si>
  <si>
    <t>сумма стр.1-14</t>
  </si>
  <si>
    <t>сумма стр.1-16</t>
  </si>
  <si>
    <t>Прейскурант 2007</t>
  </si>
  <si>
    <t xml:space="preserve">По прейскуранту многокв. дом </t>
  </si>
  <si>
    <t xml:space="preserve">По прейскуранту инд. дом </t>
  </si>
  <si>
    <t>15.1</t>
  </si>
  <si>
    <t>Ремонтно-заявочное обслуживание на одного абонента в домах с газовыми плитами</t>
  </si>
  <si>
    <t>двухгорелочными</t>
  </si>
  <si>
    <t>трехгорелочными</t>
  </si>
  <si>
    <t>четырехгорелочными</t>
  </si>
  <si>
    <t>дома с газовыми плитами:</t>
  </si>
  <si>
    <t>дома с газовыми плитами, проточными и емкостными водонагревателями:</t>
  </si>
  <si>
    <t>кв. м</t>
  </si>
  <si>
    <t>1 этажные</t>
  </si>
  <si>
    <t>2 этажные</t>
  </si>
  <si>
    <t>3 этажные</t>
  </si>
  <si>
    <t>4 этажные</t>
  </si>
  <si>
    <t>5 этажные</t>
  </si>
  <si>
    <t>6 этажные</t>
  </si>
  <si>
    <t>7 этажные</t>
  </si>
  <si>
    <t>8 этажные</t>
  </si>
  <si>
    <t>9 этажные</t>
  </si>
  <si>
    <t>10 этажные</t>
  </si>
  <si>
    <t>Проверка герметичности газопровода с разводкой по фасаду в многоквартирном доме мыльной эмульсией или приборным методом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</si>
  <si>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</si>
  <si>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</si>
  <si>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</si>
  <si>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</si>
  <si>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</si>
  <si>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</si>
  <si>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</si>
  <si>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</si>
  <si>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</si>
  <si>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</si>
  <si>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</si>
  <si>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</si>
  <si>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1.2.1.</t>
  </si>
  <si>
    <t>1.2.2.</t>
  </si>
  <si>
    <t>1.2.3.</t>
  </si>
  <si>
    <t>1.2.4.</t>
  </si>
  <si>
    <t>1.2.5.</t>
  </si>
  <si>
    <t>Техническое обслуживание внутридомового газового оборудования, относящегося к общему имуществу в многоквартирном доме в расчете на 1 кв.м:</t>
  </si>
  <si>
    <r>
      <t xml:space="preserve">Стоимость </t>
    </r>
    <r>
      <rPr>
        <b/>
        <u/>
        <sz val="12"/>
        <rFont val="Garamond"/>
        <family val="1"/>
        <charset val="204"/>
      </rPr>
      <t>в год</t>
    </r>
    <r>
      <rPr>
        <sz val="12"/>
        <rFont val="Garamond"/>
        <family val="1"/>
      </rPr>
      <t>, руб. для населения</t>
    </r>
  </si>
  <si>
    <r>
      <t xml:space="preserve">Стоимость </t>
    </r>
    <r>
      <rPr>
        <b/>
        <u/>
        <sz val="12"/>
        <rFont val="Garamond"/>
        <family val="1"/>
        <charset val="204"/>
      </rPr>
      <t>в месяц</t>
    </r>
    <r>
      <rPr>
        <sz val="12"/>
        <rFont val="Garamond"/>
        <family val="1"/>
      </rPr>
      <t>, руб. для населения</t>
    </r>
  </si>
  <si>
    <t>Приложение № 3.1 к Приказу № _____ от "____"_________ 2010 г.</t>
  </si>
  <si>
    <t>Приложение  К ПРЕЙСКУРАНТУ ООО "СВГК"</t>
  </si>
  <si>
    <t>НА РАБОТЫ ПО ТЕХНИЧЕСКОЙ ЭКСПЛУАТАЦИИ ВНУТРИДОМОВОГО ГАЗОВОГО ОБОРУДОВАНИЯ, НАХОДЯЩЕГОСЯ В МНОГОКВАРТИРНОМ ДОМЕ (для физических лиц)</t>
  </si>
  <si>
    <t>ВДГО, входящее в состав общего имущества в многоквартирном доме:</t>
  </si>
  <si>
    <t>Наименование газового оборудования</t>
  </si>
  <si>
    <t>Пункт прейскуранта</t>
  </si>
  <si>
    <t>Цена обслуживания единицы газового оборудования, в месяц, с учетом НДС</t>
  </si>
  <si>
    <t>Количество</t>
  </si>
  <si>
    <t>Итого стоимость работ (услуг) с учетом НДС</t>
  </si>
  <si>
    <t>в т.ч. НДС 18%</t>
  </si>
  <si>
    <t>Итого:</t>
  </si>
  <si>
    <t>Сварное, фланцевое, резьбовое соединение диаметром до 32 мм</t>
  </si>
  <si>
    <t>10 соединений</t>
  </si>
  <si>
    <t>Сварное, фланцевое, резьбовое соединение диаметром от 33 до 40 мм</t>
  </si>
  <si>
    <t>Сварное, фланцевое, резьбовое соединение диаметром от 41 до 50 мм</t>
  </si>
  <si>
    <t>Внутренний газопровод с количеством приборов до 5 шт</t>
  </si>
  <si>
    <t>Внутренний газопровод с количеством приборов от 6 до 10 шт</t>
  </si>
  <si>
    <t>Внутренний газопровод с количеством приборов от 11 до 15 шт</t>
  </si>
  <si>
    <t>Внутренний газопровод с количеством приборов свыше 16 шт</t>
  </si>
  <si>
    <t>Запорная арматура</t>
  </si>
  <si>
    <t>шт.</t>
  </si>
  <si>
    <t>Газовый кран (первое отключающее устройство)</t>
  </si>
  <si>
    <t>руб./стояк</t>
  </si>
  <si>
    <t>Расчет стоимости услуг по технической эксплуатации внутридомового газового оборудования, относящегося к общему имуществу многоквартирного дома</t>
  </si>
  <si>
    <t>в расчете на 1 подъезд 1-но этажного жилого дома (4 квартиры, 1 стояк, газовая плита, прибор учета расхода газа)</t>
  </si>
  <si>
    <t>Внутренний газопровод с количеством приборов до 5 шт.</t>
  </si>
  <si>
    <t>Внутренний газопровод с количеством приборов от 6 до 10 шт.</t>
  </si>
  <si>
    <t>Внутренний газопровод с количеством приборов от 11 до 15 шт.</t>
  </si>
  <si>
    <t>Внутренний газопровод с количеством приборов свыше 16 шт.</t>
  </si>
  <si>
    <t>Аварийное обслуживание с количеством приборов до 5 шт</t>
  </si>
  <si>
    <t>Средняя площадь квартир в подъезде</t>
  </si>
  <si>
    <t>Стоимость работ по технической эксплуатации ВДГО (общее имущество ) в месяц</t>
  </si>
  <si>
    <t>в расчете на 1 подъезд 2-х этажного жилого дома (8 квартир, 4 стояка, газовая плита, прибор учета расхода газа)</t>
  </si>
  <si>
    <t>в расчете на 1 подъезд 3-х этажного жилого дома (12 квартир, 4 стояка, газовая плита, прибор учета расхода газа)</t>
  </si>
  <si>
    <t>Аварийное обслуживание с количеством приборов от 6 до 10 шт</t>
  </si>
  <si>
    <t>в расчете на 1 подъезд 4-х этажного жилого дома (16 квартир, 4 стояка, газовая плита, прибор учета расхода газа)</t>
  </si>
  <si>
    <t>в расчете на 1 подъезд 5-ти этажного жилого дома (20 квартир, газовая плита, прибор учета расхода газа)</t>
  </si>
  <si>
    <t>в расчете на 1 подъезд 6-ти этажного жилого дома (36 квартир, газовая плита, прибор учета расхода газа)</t>
  </si>
  <si>
    <t>Аварийное обслуживание с количеством приборов свыше 16 шт</t>
  </si>
  <si>
    <t>Итого</t>
  </si>
  <si>
    <t>в расчете на 1 подъезд 7-ми этажного жилого дома (36 квартир, газовая плита, прибор учета расхода газа)</t>
  </si>
  <si>
    <t>в расчете на 1 подъезд 8-ми этажного жилого дома (36 квартир, газовая плита, прибор учета расхода газа)</t>
  </si>
  <si>
    <t>в расчете на 1 подъезд 9-ти этажного жилого дома (36 квартир, газовая плита, прибор учета расхода газа)</t>
  </si>
  <si>
    <t>в расчете на 1 подъезд 10-ти этажного жилого дома (40 квартир,  газовая плита, прибор учета расхода газа)</t>
  </si>
  <si>
    <t>в расчете на 1 подъезд 1-но этажного жилого дома (4 квартиры, 1 стояк, газовая плита, проточный водонагреватель, прибор учета расхода газа)</t>
  </si>
  <si>
    <t>в расчете на 1 подъезд 2-х этажного жилого дома (8 квартир, 4 стояка, газовая плита, проточный водонагреватель, прибор учета расхода газа)</t>
  </si>
  <si>
    <t>в расчете на 1 подъезд 3-х этажного жилого дома (12 квартир, 4 стояка, газовая плита, проточный водонагреватель, прибор учета расхода газа)</t>
  </si>
  <si>
    <t>в расчете на 1 подъезд 4-х этажного жилого дома (16 квартир, 4 стояка, газовая плита, проточный водонагреватель, прибор учета расхода газа)</t>
  </si>
  <si>
    <t>Аварийное обслуживание с количеством приборов от  11 до 15 шт</t>
  </si>
  <si>
    <t>в расчете на 1 подъезд 5-ти этажного жилого дома (20 квартир, газовая плита, проточный водонагреватель,  прибор учета расхода газа)</t>
  </si>
  <si>
    <r>
      <t>Расчет стоимости работ по технической эксплуатации ВДГО, относящегося к общему имуществу многоквартирного дома в расчете на 1 м</t>
    </r>
    <r>
      <rPr>
        <b/>
        <vertAlign val="superscript"/>
        <sz val="12"/>
        <rFont val="Times New Roman"/>
        <family val="1"/>
        <charset val="204"/>
      </rPr>
      <t>2</t>
    </r>
  </si>
  <si>
    <r>
      <t>м</t>
    </r>
    <r>
      <rPr>
        <i/>
        <vertAlign val="superscript"/>
        <sz val="12"/>
        <rFont val="Times New Roman"/>
        <family val="1"/>
        <charset val="204"/>
      </rPr>
      <t>2</t>
    </r>
  </si>
  <si>
    <t>Рентабельность, руб.</t>
  </si>
  <si>
    <t>Соц.отчисления с з/п от ФОТ, руб.</t>
  </si>
  <si>
    <t>Накладные расходы, руб.</t>
  </si>
  <si>
    <t>2011год</t>
  </si>
  <si>
    <t>Отношение 2012/2010</t>
  </si>
  <si>
    <t>Наименования пунктов проверить!! По действующему прейскуранту</t>
  </si>
  <si>
    <t>ПРЕЙСКУРАНТ ООО "СВГК"</t>
  </si>
  <si>
    <t>НА РАБОТЫ ПО ТЕХНИЧЕСКОЙ ЭКСПЛУАТАЦИИ ВНУТРИДОМОВОГО ГАЗОВОГО ОБОРУДОВАНИЯ В ДОМЕ ИНДИВИДУАЛЬНОЙ ЗАСТРОЙКИ                            (для физических лиц)</t>
  </si>
  <si>
    <t>Техническое обслуживание резьбовых соединений газопровода к  сигнализатору загазованности (кроме проверки контрольными смесями)</t>
  </si>
  <si>
    <r>
      <t xml:space="preserve">2 </t>
    </r>
    <r>
      <rPr>
        <sz val="12"/>
        <rFont val="Garamond"/>
        <family val="1"/>
      </rPr>
      <t>соединения</t>
    </r>
  </si>
  <si>
    <t>дом</t>
  </si>
  <si>
    <t xml:space="preserve">Техническое обслуживание газового крана перед газовым прибором (при фасадной разводке газопровода - кран на вводе в квартиру) </t>
  </si>
  <si>
    <t>квартира</t>
  </si>
  <si>
    <t xml:space="preserve">повышенной комфортности </t>
  </si>
  <si>
    <t>Техническое обслуживание задвижки (крана) на фасадном наружном газопроводе в многоквартирном доме диаметром:</t>
  </si>
  <si>
    <t>НАХОДЯЩЕГОСЯ В МНОГОКВАРТИРНОМ ДОМЕ (для физических лиц)</t>
  </si>
  <si>
    <t>15.2</t>
  </si>
  <si>
    <t>15.2.1</t>
  </si>
  <si>
    <t>15.2.2.</t>
  </si>
  <si>
    <t>15.2.3.</t>
  </si>
  <si>
    <t>15.2.4.</t>
  </si>
  <si>
    <t>17.1</t>
  </si>
  <si>
    <t>17.2</t>
  </si>
  <si>
    <t>НА РАБОТЫ ПО ТЕХНИЧЕСКОЙ ЭКСПЛУАТАЦИИ ВНУТРИДОМОВОГО ГАЗОВОГО ОБОРУДОВАНИЯ, НАХОДЯЩЕГОСЯ В МНОГОКВАРТИРНОМ ДОМЕ (для физических лиц)*</t>
  </si>
  <si>
    <t>Дома с газовой плитой, прибором учета расхода газа</t>
  </si>
  <si>
    <t>Дома с газовой плитой, проточным водонагревателем, прибором учета расхода газа</t>
  </si>
  <si>
    <t>1 этажный</t>
  </si>
  <si>
    <t>2-х этажный</t>
  </si>
  <si>
    <t>3-х этажный</t>
  </si>
  <si>
    <t>4-х этажный</t>
  </si>
  <si>
    <t>5-ти этажный</t>
  </si>
  <si>
    <t>6-ти этажный</t>
  </si>
  <si>
    <t>7-ми этажный</t>
  </si>
  <si>
    <t>8-ми этажный</t>
  </si>
  <si>
    <t>9-ти этажный</t>
  </si>
  <si>
    <t>10-ти этажный</t>
  </si>
  <si>
    <t>Техническое обслуживание резьбовых соединений газопровода к прибору учета расхода газа</t>
  </si>
  <si>
    <t>Стоимость ТО ВДГО общего имущества в расчете на 1 кв.м.</t>
  </si>
  <si>
    <t>руб. с НДС</t>
  </si>
  <si>
    <t>Нименование</t>
  </si>
  <si>
    <t>Стоимость</t>
  </si>
  <si>
    <t>Отношение расчет/прейскурант, %</t>
  </si>
  <si>
    <t>Прейскурант 2011г.</t>
  </si>
  <si>
    <t>Прейскурант с 1 июля 2012г.</t>
  </si>
  <si>
    <t>Прейскурант с 15 июня 2012г.</t>
  </si>
  <si>
    <r>
      <t xml:space="preserve">Стоимость </t>
    </r>
    <r>
      <rPr>
        <b/>
        <u/>
        <sz val="10"/>
        <rFont val="Garamond"/>
        <family val="1"/>
      </rPr>
      <t>в год</t>
    </r>
    <r>
      <rPr>
        <sz val="10"/>
        <rFont val="Garamond"/>
        <family val="1"/>
      </rPr>
      <t>, руб. для населения</t>
    </r>
  </si>
  <si>
    <r>
      <t xml:space="preserve">Стоимость </t>
    </r>
    <r>
      <rPr>
        <b/>
        <u/>
        <sz val="10"/>
        <rFont val="Garamond"/>
        <family val="1"/>
      </rPr>
      <t>в месяц</t>
    </r>
    <r>
      <rPr>
        <sz val="10"/>
        <rFont val="Garamond"/>
        <family val="1"/>
      </rPr>
      <t xml:space="preserve">, руб. для населения </t>
    </r>
  </si>
  <si>
    <r>
      <t xml:space="preserve">Стоимость </t>
    </r>
    <r>
      <rPr>
        <b/>
        <u/>
        <sz val="10"/>
        <rFont val="Garamond"/>
        <family val="1"/>
      </rPr>
      <t>в месяц</t>
    </r>
    <r>
      <rPr>
        <sz val="10"/>
        <rFont val="Garamond"/>
        <family val="1"/>
      </rPr>
      <t>, руб. для населения</t>
    </r>
  </si>
  <si>
    <t>Ф.И.О.</t>
  </si>
  <si>
    <t>к-во</t>
  </si>
  <si>
    <t>разряд</t>
  </si>
  <si>
    <t>должность</t>
  </si>
  <si>
    <t>шкала</t>
  </si>
  <si>
    <t>оклад  по</t>
  </si>
  <si>
    <t>ед</t>
  </si>
  <si>
    <t>шт</t>
  </si>
  <si>
    <t>мин</t>
  </si>
  <si>
    <t>штату</t>
  </si>
  <si>
    <t>СЭГХ-1 филиала "Самарагаз" ООО "СВГК"</t>
  </si>
  <si>
    <t>Участок техобслуживания и ремонта ВДГО</t>
  </si>
  <si>
    <t>сл по экспл и рем ГО</t>
  </si>
  <si>
    <t>Бригада техобслуживания ВДГО №2</t>
  </si>
  <si>
    <t>Прейскурант 2012</t>
  </si>
  <si>
    <t>Часовая тарифная ставка (в Прейскуранте 2012гг.)</t>
  </si>
  <si>
    <t>Отношение расчет/2012</t>
  </si>
  <si>
    <t>Расчет часовой тарифной ставки для Прейскуранта на ТЭ ВДГО на 2013 год</t>
  </si>
  <si>
    <t>Часовая тарифная ставка (на 2013 год)</t>
  </si>
  <si>
    <t>Отношение 2013/2012</t>
  </si>
  <si>
    <t>Отношение 2013/расчет по штатному расписанию</t>
  </si>
  <si>
    <t>Михайлова О.А.</t>
  </si>
  <si>
    <t>Отношение 2012/расчет по штатному расписанию</t>
  </si>
  <si>
    <t>макс (факт)</t>
  </si>
  <si>
    <t>Часовая тарифная ставка (расчет) с 50% премией</t>
  </si>
  <si>
    <r>
      <t xml:space="preserve">Трудозатраты на ед.изм., чел.ч. = </t>
    </r>
    <r>
      <rPr>
        <b/>
        <sz val="14"/>
        <rFont val="Garamond"/>
        <family val="1"/>
        <charset val="204"/>
      </rPr>
      <t>трудозатратам в многоквартирном доме</t>
    </r>
  </si>
  <si>
    <t>было:</t>
  </si>
  <si>
    <t>округл/округлвниз</t>
  </si>
  <si>
    <r>
      <t xml:space="preserve">Трудозатраты на ед.изм., чел.ч. </t>
    </r>
    <r>
      <rPr>
        <b/>
        <sz val="14"/>
        <rFont val="Garamond"/>
        <family val="1"/>
        <charset val="204"/>
      </rPr>
      <t>Гипрониигаз</t>
    </r>
  </si>
  <si>
    <t>Глава 1. ТЕХНИЧЕСКОЕ ОБСЛУЖИВАНИЕ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</si>
  <si>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</si>
  <si>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</si>
  <si>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</si>
  <si>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</si>
  <si>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</si>
  <si>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</si>
  <si>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</si>
  <si>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>газового оборудования</t>
  </si>
  <si>
    <t>исполни-</t>
  </si>
  <si>
    <t>имость,</t>
  </si>
  <si>
    <t>для пред-</t>
  </si>
  <si>
    <t>для</t>
  </si>
  <si>
    <t>ед.изм.,</t>
  </si>
  <si>
    <t>приятий</t>
  </si>
  <si>
    <t>населения</t>
  </si>
  <si>
    <t>(без НДС)</t>
  </si>
  <si>
    <t>(c НДС)</t>
  </si>
  <si>
    <t>слесарь 2 р.</t>
  </si>
  <si>
    <t>10.1.4.</t>
  </si>
  <si>
    <t xml:space="preserve">Техническое обслуживание индивидуальной газобаллонной  </t>
  </si>
  <si>
    <t>установка</t>
  </si>
  <si>
    <t>установки (ГБУ) на кухне с плитой двухгорелочной газовой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</si>
  <si>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</si>
  <si>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</si>
  <si>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</si>
  <si>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</si>
  <si>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</si>
  <si>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</si>
  <si>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 xml:space="preserve">с плитой  двухгорелочной газовой </t>
  </si>
  <si>
    <t>10.1.8.</t>
  </si>
  <si>
    <t>10.1.9.</t>
  </si>
  <si>
    <t>10.1.14.</t>
  </si>
  <si>
    <t>То же, типа АОГВ-11, АОГВ-15, АОГВ-20</t>
  </si>
  <si>
    <t>10.1.15.</t>
  </si>
  <si>
    <t>То же, типа АОГВ-17,5, 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</si>
  <si>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</si>
  <si>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</si>
  <si>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</si>
  <si>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</si>
  <si>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</si>
  <si>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 xml:space="preserve">Техническое обслуживание комбинированной бойлерной </t>
  </si>
  <si>
    <t>установки типа "Мора"</t>
  </si>
  <si>
    <t>10.1.19.</t>
  </si>
  <si>
    <t>Техническое обслуживание отопительного котла ВНИИСТО</t>
  </si>
  <si>
    <t>котел</t>
  </si>
  <si>
    <t>10.1.20.</t>
  </si>
  <si>
    <t xml:space="preserve">Техническое обслуживание пищеварочного  котла </t>
  </si>
  <si>
    <t>10.1.22.</t>
  </si>
  <si>
    <t>То же, без автоматики</t>
  </si>
  <si>
    <t xml:space="preserve">Техническое обслуживание газов. оборудования индивидуальной  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</si>
  <si>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</si>
  <si>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</si>
  <si>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</si>
  <si>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</si>
  <si>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агрегат</t>
  </si>
  <si>
    <t>10.1.25.</t>
  </si>
  <si>
    <t>То же, с увлажнителем</t>
  </si>
  <si>
    <t>10.1.26.</t>
  </si>
  <si>
    <t>Техническое обслуживание калорифера газового</t>
  </si>
  <si>
    <t>Техническое обслуживание сигнализатора загазованности</t>
  </si>
  <si>
    <t>(кроме проверки контрольными смесями)</t>
  </si>
  <si>
    <r>
      <t xml:space="preserve">Проверка на герметичность </t>
    </r>
    <r>
      <rPr>
        <sz val="9"/>
        <rFont val="Arial Cyr"/>
        <family val="2"/>
        <charset val="204"/>
      </rPr>
      <t xml:space="preserve">фланцевых, резьбовых соединений  </t>
    </r>
  </si>
  <si>
    <t xml:space="preserve">и  сварных стыков на газопроводе в подъезде здания </t>
  </si>
  <si>
    <t>при диаметре      до 32 мм</t>
  </si>
  <si>
    <t xml:space="preserve">                               33 - 40 мм                                                      </t>
  </si>
  <si>
    <t xml:space="preserve">                               41 - 50 мм                                                    </t>
  </si>
  <si>
    <t xml:space="preserve">                                                                                 6 - 10</t>
  </si>
  <si>
    <t xml:space="preserve">                                                                                 11 - 15</t>
  </si>
  <si>
    <t xml:space="preserve">                                                                                 св. 16</t>
  </si>
  <si>
    <t xml:space="preserve">(При работе с приставной лестницы с перестановкой применять 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</si>
  <si>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</si>
  <si>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</si>
  <si>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</si>
  <si>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</si>
  <si>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 xml:space="preserve">на зимний период  </t>
  </si>
  <si>
    <t xml:space="preserve">(На каждую последующую печь в пунктах  1.1.31 - 1.1.32 </t>
  </si>
  <si>
    <t>применять коэф. 0,85)</t>
  </si>
  <si>
    <t>10.1.32.</t>
  </si>
  <si>
    <t>То же, без автоматического устройства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</si>
  <si>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</si>
  <si>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</si>
  <si>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</si>
  <si>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</si>
  <si>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</si>
  <si>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отопитель- </t>
  </si>
  <si>
    <t>ной печи</t>
  </si>
  <si>
    <t>(На каждый послед. аппарат, печь применять коэф.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</si>
  <si>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</si>
  <si>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</si>
  <si>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</si>
  <si>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</si>
  <si>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</si>
  <si>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</si>
  <si>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</si>
  <si>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</si>
  <si>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</si>
  <si>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</si>
  <si>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автома-</t>
  </si>
  <si>
    <t>тикой на сезонную работу пищеблока</t>
  </si>
  <si>
    <t>10.1.40.</t>
  </si>
  <si>
    <t xml:space="preserve">Выключение плиты ресторанной или котла варочного после </t>
  </si>
  <si>
    <t>сезонной работы пищеблока</t>
  </si>
  <si>
    <t>(котел)</t>
  </si>
  <si>
    <t>(На каждую послед. плиту (котел) применять коэф. 0,85)</t>
  </si>
  <si>
    <t>Глава 2. РЕМОНТ ПО ЗАЯВКАМ</t>
  </si>
  <si>
    <t xml:space="preserve">Договорная цена,руб. </t>
  </si>
  <si>
    <t>Вызов слесаря для выполнения ремонта</t>
  </si>
  <si>
    <t>вызов</t>
  </si>
  <si>
    <t>слесарь 3-4 р.</t>
  </si>
  <si>
    <t>Плита газовая и газобаллонная установка</t>
  </si>
  <si>
    <t>10.2.1.</t>
  </si>
  <si>
    <t xml:space="preserve">Замена газовой плиты без изменения подводки с пуском </t>
  </si>
  <si>
    <t>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</si>
  <si>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</si>
  <si>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</si>
  <si>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</si>
  <si>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</si>
  <si>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</si>
  <si>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</si>
  <si>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</si>
  <si>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</si>
  <si>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</si>
  <si>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</si>
  <si>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</si>
  <si>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</si>
  <si>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</si>
  <si>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</si>
  <si>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</si>
  <si>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</si>
  <si>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</si>
  <si>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</si>
  <si>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</si>
  <si>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</si>
  <si>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</si>
  <si>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</si>
  <si>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</si>
  <si>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</si>
  <si>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</si>
  <si>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</si>
  <si>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</si>
  <si>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</si>
  <si>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</si>
  <si>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</si>
  <si>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</si>
  <si>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</si>
  <si>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</si>
  <si>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</si>
  <si>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</si>
  <si>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</si>
  <si>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</si>
  <si>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</si>
  <si>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</si>
  <si>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</si>
  <si>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</si>
  <si>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</si>
  <si>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</si>
  <si>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</si>
  <si>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</si>
  <si>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</si>
  <si>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</si>
  <si>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</si>
  <si>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</si>
  <si>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вертеля духового шкафа</t>
  </si>
  <si>
    <t>операция</t>
  </si>
  <si>
    <t>10.2.21.</t>
  </si>
  <si>
    <t xml:space="preserve">Замена терморегулятора (указателя температуры) духового </t>
  </si>
  <si>
    <t>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</si>
  <si>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</si>
  <si>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</si>
  <si>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</si>
  <si>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</si>
  <si>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</si>
  <si>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</si>
  <si>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</si>
  <si>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</si>
  <si>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</si>
  <si>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</si>
  <si>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</si>
  <si>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</si>
  <si>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</si>
  <si>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</si>
  <si>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</si>
  <si>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</si>
  <si>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</si>
  <si>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</si>
  <si>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</si>
  <si>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>Замена разрядника блока пъезорозжига</t>
  </si>
  <si>
    <t>10.2.32.</t>
  </si>
  <si>
    <r>
      <t xml:space="preserve">Замена терморегулятора (указателя температуры) </t>
    </r>
    <r>
      <rPr>
        <sz val="9"/>
        <rFont val="Arial Cyr"/>
        <family val="2"/>
        <charset val="204"/>
      </rPr>
      <t>плиты"Брест"</t>
    </r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</si>
  <si>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</si>
  <si>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</si>
  <si>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</si>
  <si>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</si>
  <si>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</t>
  </si>
  <si>
    <t>шланг</t>
  </si>
  <si>
    <t>10.2.35.</t>
  </si>
  <si>
    <t>Регулировка горения газа с калибровкой отверстия форсунки</t>
  </si>
  <si>
    <t>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</si>
  <si>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</si>
  <si>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</si>
  <si>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</si>
  <si>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</si>
  <si>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</si>
  <si>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</si>
  <si>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</si>
  <si>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 xml:space="preserve">Настройка электромагнитного клапана (ЭМК)  плиты 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</si>
  <si>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</si>
  <si>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</si>
  <si>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</si>
  <si>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</si>
  <si>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</si>
  <si>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</si>
  <si>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</si>
  <si>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>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</si>
  <si>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</si>
  <si>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</si>
  <si>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</si>
  <si>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</si>
  <si>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</si>
  <si>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двухконфорочной портативной плиты</t>
  </si>
  <si>
    <t>10.2.46.</t>
  </si>
  <si>
    <t>Ремонт и настройка регулятора давления газа РДГ, РДК и др.</t>
  </si>
  <si>
    <t>10.2.47.</t>
  </si>
  <si>
    <t xml:space="preserve">Замена регулятора давления газа </t>
  </si>
  <si>
    <t>10.2.48.</t>
  </si>
  <si>
    <t xml:space="preserve">Замена мембраны регулятора давления газа </t>
  </si>
  <si>
    <t>мембрана</t>
  </si>
  <si>
    <t>10.2.49.</t>
  </si>
  <si>
    <t xml:space="preserve">Замена шланга и прокладки регулятора давления газа </t>
  </si>
  <si>
    <t>10.2.50.</t>
  </si>
  <si>
    <t>Замена прокладки уплотнительного клапана РДГ, РДК и др.</t>
  </si>
  <si>
    <t>10.2.51.</t>
  </si>
  <si>
    <t>Замена блока инжекционных горелок в ресторанной плите</t>
  </si>
  <si>
    <t>блок</t>
  </si>
  <si>
    <t>Водонагреватель проточный</t>
  </si>
  <si>
    <t>10.2.52.</t>
  </si>
  <si>
    <t xml:space="preserve">Замена водонагревателя проточного без изменения подводки </t>
  </si>
  <si>
    <t>водонагре-</t>
  </si>
  <si>
    <t>с пуском газа и регулировкой работы прибора</t>
  </si>
  <si>
    <t>ватель</t>
  </si>
  <si>
    <t>10.2.53.</t>
  </si>
  <si>
    <t>Демонтаж проточного водонагревателя с установкой заглушки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</si>
  <si>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</si>
  <si>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</si>
  <si>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</si>
  <si>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</si>
  <si>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</si>
  <si>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</si>
  <si>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 КГИ-56</t>
  </si>
  <si>
    <t>10.2.57.</t>
  </si>
  <si>
    <t>Установка блок-крана  КГИ-56</t>
  </si>
  <si>
    <t>10.2.58.</t>
  </si>
  <si>
    <t>Замена блок-крана ВПГ</t>
  </si>
  <si>
    <t>10.2.59.</t>
  </si>
  <si>
    <t>Снятие блок-крана  ВПГ</t>
  </si>
  <si>
    <t>10.2.60.</t>
  </si>
  <si>
    <t>Установка блок-крана  ВПГ</t>
  </si>
  <si>
    <t>10.2.61.</t>
  </si>
  <si>
    <t>Замена газовой части  блок-крана КГИ-56</t>
  </si>
  <si>
    <t>10.2.62.</t>
  </si>
  <si>
    <t>Снятие газовой части  блок-крана КГИ-56</t>
  </si>
  <si>
    <t>10.2.63.</t>
  </si>
  <si>
    <t>Установка газовой части  блок-крана КГИ-56</t>
  </si>
  <si>
    <t>10.2.64.</t>
  </si>
  <si>
    <t>Замена газовой части  блок-крана ВПГ</t>
  </si>
  <si>
    <t>10.2.65.</t>
  </si>
  <si>
    <t>Снятие газовой части  блок-крана ВПГ</t>
  </si>
  <si>
    <t>10.2.66.</t>
  </si>
  <si>
    <t>Установка газовой части  блок-крана ВПГ</t>
  </si>
  <si>
    <t>10.2.67.</t>
  </si>
  <si>
    <t>Замена водяного регулятора Л-3</t>
  </si>
  <si>
    <t>10.2.68.</t>
  </si>
  <si>
    <t xml:space="preserve">Замена водяного регулятора КГИ-56 </t>
  </si>
  <si>
    <t>10.2.69.</t>
  </si>
  <si>
    <t xml:space="preserve">Замена водяного регулятора ПГ-6 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</si>
  <si>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</si>
  <si>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</si>
  <si>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</si>
  <si>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</si>
  <si>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</si>
  <si>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</si>
  <si>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</si>
  <si>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</si>
  <si>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</si>
  <si>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</si>
  <si>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</si>
  <si>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</si>
  <si>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</si>
  <si>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</si>
  <si>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</si>
  <si>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</si>
  <si>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</si>
  <si>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</si>
  <si>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</si>
  <si>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</si>
  <si>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</si>
  <si>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</si>
  <si>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</si>
  <si>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</si>
  <si>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</si>
  <si>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</si>
  <si>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</si>
  <si>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</si>
  <si>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</si>
  <si>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</si>
  <si>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</si>
  <si>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</si>
  <si>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</si>
  <si>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</si>
  <si>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</si>
  <si>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</si>
  <si>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</si>
  <si>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</si>
  <si>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</si>
  <si>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10.2.87.</t>
  </si>
  <si>
    <t>Замена теплообменника КГИ-56</t>
  </si>
  <si>
    <t>теплообмен-к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</si>
  <si>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</si>
  <si>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</si>
  <si>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</si>
  <si>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</si>
  <si>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</si>
  <si>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</si>
  <si>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</si>
  <si>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</si>
  <si>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</si>
  <si>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</si>
  <si>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</si>
  <si>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</si>
  <si>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</si>
  <si>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</si>
  <si>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</si>
  <si>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</si>
  <si>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</si>
  <si>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</si>
  <si>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</si>
  <si>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</si>
  <si>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</si>
  <si>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r>
      <t>Замена</t>
    </r>
    <r>
      <rPr>
        <sz val="12"/>
        <rFont val="Times New Roman"/>
        <family val="1"/>
        <charset val="204"/>
      </rPr>
      <t xml:space="preserve"> электромагнитного клапана ВПГ</t>
    </r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</si>
  <si>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</si>
  <si>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</si>
  <si>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</si>
  <si>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</si>
  <si>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</si>
  <si>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</si>
  <si>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</si>
  <si>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</si>
  <si>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</si>
  <si>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</si>
  <si>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</si>
  <si>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</si>
  <si>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</si>
  <si>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</si>
  <si>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</si>
  <si>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</si>
  <si>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</si>
  <si>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</si>
  <si>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</si>
  <si>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</si>
  <si>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</si>
  <si>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</si>
  <si>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</si>
  <si>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</si>
  <si>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</si>
  <si>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</si>
  <si>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</si>
  <si>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</si>
  <si>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</si>
  <si>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 xml:space="preserve">Прочистка сетки фильтра водяного редуктора с заменой </t>
  </si>
  <si>
    <t>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</si>
  <si>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</si>
  <si>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</si>
  <si>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</si>
  <si>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</si>
  <si>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</si>
  <si>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</si>
  <si>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</si>
  <si>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</si>
  <si>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</si>
  <si>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 холодной воды с</t>
  </si>
  <si>
    <t>корректировкой резьбы</t>
  </si>
  <si>
    <t>10.2.117.</t>
  </si>
  <si>
    <t>Установка подводящей трубки холодной воды</t>
  </si>
  <si>
    <t>10.2.118.</t>
  </si>
  <si>
    <t xml:space="preserve">Снятие и прочистка отводящей трубки горячей воды с </t>
  </si>
  <si>
    <t xml:space="preserve">корректировкой резьбы </t>
  </si>
  <si>
    <t>10.2.119.</t>
  </si>
  <si>
    <t>Установка отводящей трубки горячей воды</t>
  </si>
  <si>
    <t>10.2.120.</t>
  </si>
  <si>
    <t>Снятие и прочистка трубок радиатора КГИ-56  с корректи-</t>
  </si>
  <si>
    <t>ровкой резьбы</t>
  </si>
  <si>
    <t>10.2.121.</t>
  </si>
  <si>
    <t xml:space="preserve">Установка трубок радиатора КГИ-56 </t>
  </si>
  <si>
    <t>10.2.122.</t>
  </si>
  <si>
    <t>Развальцовка подводящей трубки холодной воды с заменой</t>
  </si>
  <si>
    <t>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</si>
  <si>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</si>
  <si>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</si>
  <si>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</si>
  <si>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</si>
  <si>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</si>
  <si>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</si>
  <si>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</si>
  <si>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</si>
  <si>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</si>
  <si>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</si>
  <si>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</si>
  <si>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</si>
  <si>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</si>
  <si>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</si>
  <si>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</si>
  <si>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</si>
  <si>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</si>
  <si>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 огневой камеры</t>
  </si>
  <si>
    <t>10.2.132.</t>
  </si>
  <si>
    <t>Установка  огневой камеры</t>
  </si>
  <si>
    <t>10.2.133.</t>
  </si>
  <si>
    <t>Крепление корпуса горелки ВПГ</t>
  </si>
  <si>
    <t>10.2.134.</t>
  </si>
  <si>
    <t>Крепление корпуса горелки КГИ</t>
  </si>
  <si>
    <t>10.2.135.</t>
  </si>
  <si>
    <t>Закрепление водонагревателя</t>
  </si>
  <si>
    <t>Водонагреватель емкостный, отопительный (отопительно-</t>
  </si>
  <si>
    <t xml:space="preserve">    варочный) котел, отопительная газовая печь </t>
  </si>
  <si>
    <t>10.2.136.</t>
  </si>
  <si>
    <t xml:space="preserve">Замена емкостного водонагревателя (котла) без изменения под- </t>
  </si>
  <si>
    <t xml:space="preserve">водки с пуском газа и регулировкой работы прибора (аппарата) </t>
  </si>
  <si>
    <t>10.2.137.</t>
  </si>
  <si>
    <t>Демонтаж котла с установкой заглушки</t>
  </si>
  <si>
    <t>10.2.138.</t>
  </si>
  <si>
    <t xml:space="preserve">Демонтаж горелки отопительного котла (печи) с установкой </t>
  </si>
  <si>
    <t>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</si>
  <si>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</si>
  <si>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</si>
  <si>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</si>
  <si>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</si>
  <si>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</si>
  <si>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</si>
  <si>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</si>
  <si>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 АГВ-80, АОГВ-4 - АОГВ-20</t>
  </si>
  <si>
    <t>10.2.143.</t>
  </si>
  <si>
    <t>Замена крана горелки  АГВ-120, АОГВ-17.5, АОГВ-23 и др.</t>
  </si>
  <si>
    <t>10.2.144.</t>
  </si>
  <si>
    <t>Замена крана горелки отопительного котла ВНИИСТО-МЧ или</t>
  </si>
  <si>
    <t>отопительной печи</t>
  </si>
  <si>
    <t>10.2.145.</t>
  </si>
  <si>
    <t xml:space="preserve">Замена крана горелки пищеварочного котла </t>
  </si>
  <si>
    <t>10.2.146.</t>
  </si>
  <si>
    <t>Замена термопары  АГВ (АОГВ)</t>
  </si>
  <si>
    <t>10.2.147.</t>
  </si>
  <si>
    <t>Замена термопары отоптельного котла ВНИИСТО - 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</si>
  <si>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</si>
  <si>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</si>
  <si>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</si>
  <si>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</si>
  <si>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</si>
  <si>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</si>
  <si>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</si>
  <si>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</si>
  <si>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</si>
  <si>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</si>
  <si>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терморег-тор</t>
  </si>
  <si>
    <t>10.2.153.</t>
  </si>
  <si>
    <t>Замена ЭМК емкостного водонагревателя</t>
  </si>
  <si>
    <t>10.2.154.</t>
  </si>
  <si>
    <t>Замена ЭМК отоительного котла 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</si>
  <si>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</si>
  <si>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</si>
  <si>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</si>
  <si>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</si>
  <si>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</si>
  <si>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</si>
  <si>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</si>
  <si>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</si>
  <si>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</si>
  <si>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</si>
  <si>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</si>
  <si>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</si>
  <si>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</si>
  <si>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</si>
  <si>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</si>
  <si>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</si>
  <si>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>10.2.163.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</si>
  <si>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</si>
  <si>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</si>
  <si>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</si>
  <si>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</si>
  <si>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</si>
  <si>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</si>
  <si>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</si>
  <si>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</si>
  <si>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 фильтра на автоматике  АГВ, АОГВ</t>
  </si>
  <si>
    <t>фильтр</t>
  </si>
  <si>
    <t>10.2.168.</t>
  </si>
  <si>
    <t>Замена обратного предохранительного клапана</t>
  </si>
  <si>
    <t>10.2.169.</t>
  </si>
  <si>
    <t>Замена "кармана" под термометр в отопительном аппарате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</si>
  <si>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</si>
  <si>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</si>
  <si>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</si>
  <si>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</si>
  <si>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</si>
  <si>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</si>
  <si>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</si>
  <si>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</si>
  <si>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</si>
  <si>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</t>
  </si>
  <si>
    <t>воды в котле</t>
  </si>
  <si>
    <t>10.2.175.</t>
  </si>
  <si>
    <t xml:space="preserve">Ремонт терморегулятора с заменой пружины (скобы или </t>
  </si>
  <si>
    <t>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</si>
  <si>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</si>
  <si>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</si>
  <si>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</si>
  <si>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</si>
  <si>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</si>
  <si>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</si>
  <si>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</si>
  <si>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</si>
  <si>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</si>
  <si>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</si>
  <si>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</si>
  <si>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</si>
  <si>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</si>
  <si>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</si>
  <si>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</si>
  <si>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</si>
  <si>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</si>
  <si>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</si>
  <si>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</si>
  <si>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</si>
  <si>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</si>
  <si>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</si>
  <si>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</si>
  <si>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</si>
  <si>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</si>
  <si>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</si>
  <si>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</si>
  <si>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</si>
  <si>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 xml:space="preserve">Очистка от сажи  отопительного котла  </t>
  </si>
  <si>
    <t>10.2.191.</t>
  </si>
  <si>
    <t>Очистка от накипи бака отопительного котла</t>
  </si>
  <si>
    <t>10.2.192.</t>
  </si>
  <si>
    <t>Проверка плотности бака после сварочных работ</t>
  </si>
  <si>
    <t>10.2.193.</t>
  </si>
  <si>
    <t xml:space="preserve">Ремонт бака отопительного котла </t>
  </si>
  <si>
    <t>газосв. 4 р.</t>
  </si>
  <si>
    <t>10.2.194.</t>
  </si>
  <si>
    <t>Очистка рожков горелки от сажи</t>
  </si>
  <si>
    <t>10.2.195.</t>
  </si>
  <si>
    <t>10.2.196.</t>
  </si>
  <si>
    <t>Чистка сопел коллектора печной горелки</t>
  </si>
  <si>
    <t>10.2.197.</t>
  </si>
  <si>
    <t>Очистка от сажи отопительной печи</t>
  </si>
  <si>
    <t>Агрегат "Lennox"</t>
  </si>
  <si>
    <t>10.2.198.</t>
  </si>
  <si>
    <t>Техническая диагностика неисправностей агрегата</t>
  </si>
  <si>
    <t>слесарь 6 р.</t>
  </si>
  <si>
    <t>10.2.199.</t>
  </si>
  <si>
    <t xml:space="preserve">Вскрытие отсека вентилятора </t>
  </si>
  <si>
    <t>10.2.200.</t>
  </si>
  <si>
    <t xml:space="preserve">Замена температурных датчиков или конденсатора в отсеке </t>
  </si>
  <si>
    <t>вентилятора агрегата "Lennox" с заменой фильтра</t>
  </si>
  <si>
    <t>10.2.201.</t>
  </si>
  <si>
    <t xml:space="preserve">То же, без замены фильтра </t>
  </si>
  <si>
    <t>10.2.202.</t>
  </si>
  <si>
    <t xml:space="preserve">Замена датчика пламени </t>
  </si>
  <si>
    <t>10.2.203.</t>
  </si>
  <si>
    <t>Замена двигателя вентилятора  с заменой фильтра</t>
  </si>
  <si>
    <t>10.2.204.</t>
  </si>
  <si>
    <t>10.2.205.</t>
  </si>
  <si>
    <t>Замена  вентилятора в сборе агрегата "Lennox" с заменой</t>
  </si>
  <si>
    <t>фильтра</t>
  </si>
  <si>
    <t>10.2.206.</t>
  </si>
  <si>
    <t>Прочие работы</t>
  </si>
  <si>
    <t>10.2.207.</t>
  </si>
  <si>
    <t>Замена газового крана на газопроводе диаметром  до 32 мм</t>
  </si>
  <si>
    <t xml:space="preserve">  </t>
  </si>
  <si>
    <t xml:space="preserve">                                                                                 40-50 мм</t>
  </si>
  <si>
    <t xml:space="preserve">(При работе с приставной лестницы в пунктах 1.2.210 - 1.2.214 </t>
  </si>
  <si>
    <t>применять коэф.1,2)</t>
  </si>
  <si>
    <t>10.2.208.</t>
  </si>
  <si>
    <t xml:space="preserve">Замена участка внутреннего газопровода длиной до </t>
  </si>
  <si>
    <t>одного метра диаметром   15 мм</t>
  </si>
  <si>
    <t>участок</t>
  </si>
  <si>
    <t xml:space="preserve">                                            32 мм</t>
  </si>
  <si>
    <t xml:space="preserve">                                            40 мм</t>
  </si>
  <si>
    <t xml:space="preserve">                                            50 мм</t>
  </si>
  <si>
    <t>10.2.209.</t>
  </si>
  <si>
    <t xml:space="preserve">То же, на каждый дополнительный один метр газопровода </t>
  </si>
  <si>
    <t>диаметром   15 мм</t>
  </si>
  <si>
    <t>м</t>
  </si>
  <si>
    <t xml:space="preserve">                      32 мм</t>
  </si>
  <si>
    <t xml:space="preserve">                      40 мм</t>
  </si>
  <si>
    <t xml:space="preserve">                      50 мм</t>
  </si>
  <si>
    <t>10.2.210.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</si>
  <si>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</si>
  <si>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</si>
  <si>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      св.25 мм</t>
  </si>
  <si>
    <t>10.2.211.</t>
  </si>
  <si>
    <t>Устранение утечки газа в муфтовом соединении внутреннего</t>
  </si>
  <si>
    <t>соединение</t>
  </si>
  <si>
    <t>газопровода диаметром до 50 мм</t>
  </si>
  <si>
    <t>10.2.212.</t>
  </si>
  <si>
    <t>Продувка и пуск газа во внутренний газопровод администра-</t>
  </si>
  <si>
    <t>объект</t>
  </si>
  <si>
    <t>тивного, общественного здания непроизводственного</t>
  </si>
  <si>
    <t>назначения после отключения от газоснабжения</t>
  </si>
  <si>
    <t>10.2.213.</t>
  </si>
  <si>
    <t>Продувка и пуск дворового (подземного,надземного) газопро-</t>
  </si>
  <si>
    <t xml:space="preserve">вода к жилому  дому после отключения от газоснабжения </t>
  </si>
  <si>
    <t>10.2.214.</t>
  </si>
  <si>
    <t>Продувка и пуск внутреннего газопровода в жилом доме</t>
  </si>
  <si>
    <t>индивид. застройки после отключения  от газоснабжения</t>
  </si>
  <si>
    <t>10.2.215.</t>
  </si>
  <si>
    <t>Продувка и пуск внутреннего газопровода в многоквартирном</t>
  </si>
  <si>
    <t>жилом доме  после отключения от газоснабжения при</t>
  </si>
  <si>
    <t>количестве приборов на одном стояке до 5</t>
  </si>
  <si>
    <t>10.2.216.</t>
  </si>
  <si>
    <t>То же, при количестве приборов на одном стояке св. 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</si>
  <si>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</si>
  <si>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</si>
  <si>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</si>
  <si>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</si>
  <si>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</si>
  <si>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</si>
  <si>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</si>
  <si>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</si>
  <si>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 xml:space="preserve">                                                               25 - 40 мм</t>
  </si>
  <si>
    <t xml:space="preserve">                                                               50 мм</t>
  </si>
  <si>
    <t>10.2.221.</t>
  </si>
  <si>
    <t>Смазка газового крана диаметром до 15 мм</t>
  </si>
  <si>
    <t>10.2.222.</t>
  </si>
  <si>
    <t xml:space="preserve">Обследование газового прибора на его пригодность к </t>
  </si>
  <si>
    <t xml:space="preserve">эксплуатации </t>
  </si>
  <si>
    <t>10.2.223.</t>
  </si>
  <si>
    <t>Оповещение и отключение жилых домов на период ремонтных</t>
  </si>
  <si>
    <t>работ</t>
  </si>
  <si>
    <t xml:space="preserve">Примечание - " Вызов слесаря" включает время на прием заявки диспетчером и проезд (переход) к объекту. </t>
  </si>
  <si>
    <t>при диаметре газопровода до 100 мм</t>
  </si>
  <si>
    <t>задвижка</t>
  </si>
  <si>
    <t>газопровода  до 100 мм</t>
  </si>
  <si>
    <t>заглушка</t>
  </si>
  <si>
    <t>РАЗДЕЛ 5. НАРУЖНЫЕ СТАЛЬНЫЕ ГАЗОПРОВОДЫ, АРМАТУРА  И СООРУЖЕНИЯ</t>
  </si>
  <si>
    <t xml:space="preserve">Глава 1. ТЕХНИЧЕСКОЕ ОБСЛУЖИВАНИЕ </t>
  </si>
  <si>
    <t>5.1.1.</t>
  </si>
  <si>
    <t>Обход и осмотр трассы подземного уличного газопровода</t>
  </si>
  <si>
    <t xml:space="preserve">км </t>
  </si>
  <si>
    <t>5.1.2.</t>
  </si>
  <si>
    <t>Обход и осмотр трассы надземного  уличного газопровода</t>
  </si>
  <si>
    <t>5.1.3.</t>
  </si>
  <si>
    <t xml:space="preserve">Обход и осмотр внутриквартального и дворового газопровода </t>
  </si>
  <si>
    <t>100 м</t>
  </si>
  <si>
    <t>5.1.4.</t>
  </si>
  <si>
    <t>Осмотр технического состояния и проверка  на загазованность</t>
  </si>
  <si>
    <t>ввод</t>
  </si>
  <si>
    <t xml:space="preserve">газового ввода  </t>
  </si>
  <si>
    <t>5.1.5.</t>
  </si>
  <si>
    <t xml:space="preserve">Проверка на загазованность газовых колодцев и камер </t>
  </si>
  <si>
    <t>колодец</t>
  </si>
  <si>
    <t>(колодцев) инженерных подземных сооружений (коммуникаций)</t>
  </si>
  <si>
    <t>(камера)</t>
  </si>
  <si>
    <t>( При выполнении дополнительных работ, связанных с очисткой</t>
  </si>
  <si>
    <r>
      <t>крышек колодцев от снега и льда</t>
    </r>
    <r>
      <rPr>
        <sz val="12"/>
        <rFont val="Times New Roman"/>
        <family val="1"/>
        <charset val="204"/>
      </rPr>
      <t xml:space="preserve"> применять коэф. 1,2;  </t>
    </r>
  </si>
  <si>
    <t xml:space="preserve">при проверке на загазованность через отверстие в крышках </t>
  </si>
  <si>
    <t>колодцев применять коэф. 0,8 )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</si>
  <si>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</si>
  <si>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</si>
  <si>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</si>
  <si>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</si>
  <si>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 0,25)</t>
  </si>
  <si>
    <t>5.1.7.</t>
  </si>
  <si>
    <t xml:space="preserve">Проверка на загазованность контрольной  трубки  </t>
  </si>
  <si>
    <t xml:space="preserve">контрольная </t>
  </si>
  <si>
    <t xml:space="preserve">(При выполнении дополнительных работ, связанных с очисткой </t>
  </si>
  <si>
    <t>крышки ковера от снега и льда в пунктах 5.1.7 - 5.1.12 применять</t>
  </si>
  <si>
    <t xml:space="preserve"> коэф.1,2)</t>
  </si>
  <si>
    <t>5.1.8.</t>
  </si>
  <si>
    <t>Проверка технического состояния контрольного проводника</t>
  </si>
  <si>
    <t>контрольный</t>
  </si>
  <si>
    <t>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</si>
  <si>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</si>
  <si>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</si>
  <si>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</si>
  <si>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</si>
  <si>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</si>
  <si>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</si>
  <si>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</si>
  <si>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</si>
  <si>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</si>
  <si>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 xml:space="preserve">Проверка технического состояния конденсатосборника  </t>
  </si>
  <si>
    <t>с удалением конденсата давлением газа</t>
  </si>
  <si>
    <t>5.1.12.</t>
  </si>
  <si>
    <t>То же ,с удалением конденсата ручным насосом</t>
  </si>
  <si>
    <t>5.1.13.</t>
  </si>
  <si>
    <t>Оформление результатов обхода трассы  газопровода</t>
  </si>
  <si>
    <t>рапорт</t>
  </si>
  <si>
    <t>5.1.14.</t>
  </si>
  <si>
    <t>Установка указателя  на трассе газопровода</t>
  </si>
  <si>
    <t>знак</t>
  </si>
  <si>
    <t xml:space="preserve">(При выполнении работы на проезжей части улицы двумя </t>
  </si>
  <si>
    <t>исполнителями применять коэф. 2,0)</t>
  </si>
  <si>
    <t>5.1.15.</t>
  </si>
  <si>
    <t xml:space="preserve">Реставрация настенных знаков </t>
  </si>
  <si>
    <t>5.1.16.</t>
  </si>
  <si>
    <t>Замена настенного знака</t>
  </si>
  <si>
    <t>5.1.17.</t>
  </si>
  <si>
    <t>Буровой осмотр газопровода с асфальтобетонным покрытием</t>
  </si>
  <si>
    <t>скважина</t>
  </si>
  <si>
    <t>с использованием  бурильной установки</t>
  </si>
  <si>
    <t>5.1.18.</t>
  </si>
  <si>
    <t>То же, при бурении скважин вручную</t>
  </si>
  <si>
    <t>5.1.19.</t>
  </si>
  <si>
    <t xml:space="preserve">Буровой осмотр газопровода без покрытия при бурении скважин </t>
  </si>
  <si>
    <t>вручную</t>
  </si>
  <si>
    <t>5.1.20.</t>
  </si>
  <si>
    <t>Шурфовой осмотр газопровода с асфальтобетонным покрытием</t>
  </si>
  <si>
    <t>шурф</t>
  </si>
  <si>
    <t xml:space="preserve">(В ценах пунктов 5.1.20 - 5.1.21 не учтены затраты на разработку </t>
  </si>
  <si>
    <t>грунта)</t>
  </si>
  <si>
    <t>5.1.21.</t>
  </si>
  <si>
    <t>То же,  без покрытия</t>
  </si>
  <si>
    <t>5.1.22.</t>
  </si>
  <si>
    <t xml:space="preserve">Техническое обслуживание отключающих устройств и линзовых </t>
  </si>
  <si>
    <t xml:space="preserve">компенсаторов на подземном газопроводе при глубине колодца  </t>
  </si>
  <si>
    <t>до 1 м и диаметре крана  до 50 мм</t>
  </si>
  <si>
    <t>5.1.23.</t>
  </si>
  <si>
    <t xml:space="preserve">То же, при глубине колодца до 1 м и  диаметре  задвижки </t>
  </si>
  <si>
    <t>до  150 мм</t>
  </si>
  <si>
    <t>5.1.24.</t>
  </si>
  <si>
    <t>1-3 м и диаметре крана 51-100 мм</t>
  </si>
  <si>
    <t>5.1.25.</t>
  </si>
  <si>
    <t>То же, при диаметре крана 101-150 мм</t>
  </si>
  <si>
    <t>5.1.26.</t>
  </si>
  <si>
    <t>1- 3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</si>
  <si>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</si>
  <si>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</si>
  <si>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</si>
  <si>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</si>
  <si>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</si>
  <si>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Техническое обслуживание задвижки на фасадном наружном</t>
  </si>
  <si>
    <t>газопроводе диаметром до 50 мм</t>
  </si>
  <si>
    <t xml:space="preserve">                                          51 - 100 мм</t>
  </si>
  <si>
    <t>5.1.30.</t>
  </si>
  <si>
    <t>Очистка газового колодца от грязи и посторонних предметов</t>
  </si>
  <si>
    <t>при глубине колодца  до одного метра</t>
  </si>
  <si>
    <t xml:space="preserve">(При сильном загрязнении колодца  в пунктах  5.1.30 - 5.1.31 </t>
  </si>
  <si>
    <t>применять коэф.1,5)</t>
  </si>
  <si>
    <t>5.1.31.</t>
  </si>
  <si>
    <t>То же, со смазкой арматуры</t>
  </si>
  <si>
    <t>5.1.32.</t>
  </si>
  <si>
    <t>при глубине колодца  до трех метров</t>
  </si>
  <si>
    <t xml:space="preserve">(При сильном загрязнении колодца  в пунктах  5.1.32 - 5.1.33 </t>
  </si>
  <si>
    <t>5.1.33.</t>
  </si>
  <si>
    <t>5.1.34.</t>
  </si>
  <si>
    <t>Набивка камеры смазкой на кране "КС" диаметром  до 80 мм</t>
  </si>
  <si>
    <t xml:space="preserve">                                                                               81 - 100 мм</t>
  </si>
  <si>
    <t>5.1.35.</t>
  </si>
  <si>
    <t>Откачка воды из газового колодца</t>
  </si>
  <si>
    <t>(При выполнении работы на проезжей части улицы  двумя</t>
  </si>
  <si>
    <t xml:space="preserve"> исполнителями применять  коэф. 2,0)</t>
  </si>
  <si>
    <t>5.1.36.</t>
  </si>
  <si>
    <t xml:space="preserve">Наблюдение со дня выдачи уведомления за производством </t>
  </si>
  <si>
    <t>обход</t>
  </si>
  <si>
    <t xml:space="preserve">земляных работ, проводимых рядом с существующим </t>
  </si>
  <si>
    <t xml:space="preserve">газопроводом </t>
  </si>
  <si>
    <t>5.1.37.</t>
  </si>
  <si>
    <t>Оформление разрешения на производство земляных работ</t>
  </si>
  <si>
    <t>разрешение</t>
  </si>
  <si>
    <t>мастер</t>
  </si>
  <si>
    <t>с выдачей привязок газопровода (без выезда на место)</t>
  </si>
  <si>
    <t>5.1.38.</t>
  </si>
  <si>
    <t>То же,   с выездом на место</t>
  </si>
  <si>
    <t xml:space="preserve">Примечания </t>
  </si>
  <si>
    <t xml:space="preserve">1 Работы по техническому обслуживанию, ремонту и приборному техническому обследованию газопроводов </t>
  </si>
  <si>
    <t xml:space="preserve">   и сооружений на трассе выполняет слесарь по эксплуатации и ремонту подземных газопроводов. </t>
  </si>
  <si>
    <t xml:space="preserve">2 Проверка на загазованность арматуры и сооружений на газопроводе проводится приборным методом. </t>
  </si>
  <si>
    <t>3 При техническом обслуживании трасс полиэтиленовых газопроводов и сооружений применяются цены настоящего</t>
  </si>
  <si>
    <t xml:space="preserve">  прейскуранта по следующим пунктам: 5.1.1, 5.1.3, 5.1.5 - 5.1.8, 5.1.13 - 5.1.23, 5.1.30 - 5.1.31, 5.1.35 - 5.1.38.  </t>
  </si>
  <si>
    <t>Глава 2. ПРИБОРНОЕ  ТЕХНИЧЕСКОЕ ОБСЛЕДОВАНИЕ  ПОДЗЕМНЫХ ГАЗОПРОВОДОВ</t>
  </si>
  <si>
    <t>5.2.1.</t>
  </si>
  <si>
    <t xml:space="preserve">Определение точного местоположения подземных газопроводов </t>
  </si>
  <si>
    <t>аппаратурой типа АНТПИ</t>
  </si>
  <si>
    <t>5.2.2.</t>
  </si>
  <si>
    <t>Проверка состояния изоляционного покрытия подземных</t>
  </si>
  <si>
    <t>км</t>
  </si>
  <si>
    <t xml:space="preserve">(уличных) газопроводов с использованием аппаратурой типа </t>
  </si>
  <si>
    <t>АНТПИ</t>
  </si>
  <si>
    <t>5.2.3.</t>
  </si>
  <si>
    <t>Проверка подземных (уличных) газопроводов на герметичность</t>
  </si>
  <si>
    <t>приборами  типа  ГИВ-М  и  др.</t>
  </si>
  <si>
    <t>5.2.4.</t>
  </si>
  <si>
    <t>Комплексный приборный  метод обследования подземных (уличных)</t>
  </si>
  <si>
    <t>газопроводов на герметичность и целостность изоляционного</t>
  </si>
  <si>
    <t xml:space="preserve">покрытия с использованием аппаратуры типа АНТПИ, приборов </t>
  </si>
  <si>
    <t>ГИВ-М и др.</t>
  </si>
  <si>
    <t>5.2.5.</t>
  </si>
  <si>
    <t xml:space="preserve">Проверка технического состояни с помощью помощью </t>
  </si>
  <si>
    <t xml:space="preserve"> км</t>
  </si>
  <si>
    <t>передвижной лаборатории ЛОКОГ-1</t>
  </si>
  <si>
    <t>5.2.6.</t>
  </si>
  <si>
    <t>Контроль качества  изоляционного покрытия  в местах врезок и</t>
  </si>
  <si>
    <t xml:space="preserve">шурфах  приборным методом обследования при диаметре </t>
  </si>
  <si>
    <t>место врезки</t>
  </si>
  <si>
    <t>газопровода до 100 мм</t>
  </si>
  <si>
    <t>(шурф)</t>
  </si>
  <si>
    <t xml:space="preserve">                      101 - 300 мм</t>
  </si>
  <si>
    <t xml:space="preserve">                      св. 300 мм</t>
  </si>
  <si>
    <t xml:space="preserve">Примечание - При наличии на трассе подземного (уличного) газопровода в зоне 15 м по обе стороны  интенсивного движения   </t>
  </si>
  <si>
    <t xml:space="preserve">                        автотранспорта, электротранспорта, линий электропередач, радиолиний, кабелей связи, электрических кабелей,</t>
  </si>
  <si>
    <t xml:space="preserve">                        водоводов, теплотрассы, канализации  в пунктах  5.2.1. -  5.2.4  применять коэф.2,0. </t>
  </si>
  <si>
    <t>Глава 3. ТЕКУЩИЙ  И  КАПИТАЛЬНЫЙ  РЕМОНТ  ГАЗОПРОВОДОВ</t>
  </si>
  <si>
    <t>5.3.1.</t>
  </si>
  <si>
    <t xml:space="preserve">Восстановление вручную поврежденных мест защитного </t>
  </si>
  <si>
    <r>
      <t xml:space="preserve">  м</t>
    </r>
    <r>
      <rPr>
        <vertAlign val="superscript"/>
        <sz val="10"/>
        <rFont val="Arial Cyr"/>
        <family val="2"/>
        <charset val="204"/>
      </rPr>
      <t>2</t>
    </r>
    <r>
      <rPr>
        <sz val="12"/>
        <rFont val="Times New Roman"/>
        <family val="1"/>
        <charset val="204"/>
      </rPr>
      <t xml:space="preserve"> поверхн.</t>
    </r>
  </si>
  <si>
    <t xml:space="preserve">покрытия газопровода битумной изоляцией  </t>
  </si>
  <si>
    <t>газопровода</t>
  </si>
  <si>
    <t>5.3.2.</t>
  </si>
  <si>
    <t>Устранение  снежно-ледяных и кристаллогидратных закупорок</t>
  </si>
  <si>
    <t xml:space="preserve">в газопроводе  </t>
  </si>
  <si>
    <t>Способ устранения закупорок:</t>
  </si>
  <si>
    <t xml:space="preserve">                                     заливкой растворителя</t>
  </si>
  <si>
    <t>закупорка</t>
  </si>
  <si>
    <t xml:space="preserve">                                     отогревом места ледяной закупорки</t>
  </si>
  <si>
    <t xml:space="preserve">                                     шуровкой газопровода</t>
  </si>
  <si>
    <t xml:space="preserve">                                     продувкой газом или воздухом</t>
  </si>
  <si>
    <t>5.3.3.</t>
  </si>
  <si>
    <t>Установка усилительной муфты с гофрой на стыке газопровода</t>
  </si>
  <si>
    <t>муфта</t>
  </si>
  <si>
    <t>эл.газосв.5 р.</t>
  </si>
  <si>
    <t xml:space="preserve">                                      101 - 200 мм</t>
  </si>
  <si>
    <t xml:space="preserve">                                      201 - 300 мм</t>
  </si>
  <si>
    <t xml:space="preserve">                                      301 - 400 мм</t>
  </si>
  <si>
    <t xml:space="preserve">                                      401 - 500 мм</t>
  </si>
  <si>
    <t xml:space="preserve">                                      501 - 600 мм</t>
  </si>
  <si>
    <t xml:space="preserve">                                      601 - 700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</si>
  <si>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</si>
  <si>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</si>
  <si>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</si>
  <si>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</si>
  <si>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</si>
  <si>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</si>
  <si>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    св.200 мм</t>
  </si>
  <si>
    <t>5.3.5.</t>
  </si>
  <si>
    <t>Замена участка подземного газопровода (врезка катушки) при</t>
  </si>
  <si>
    <t>диаметре газопровода до 100 мм</t>
  </si>
  <si>
    <t xml:space="preserve">                                       101 - 200 мм</t>
  </si>
  <si>
    <t xml:space="preserve">                                       201 - 300 мм</t>
  </si>
  <si>
    <t xml:space="preserve">                                       301 - 500 мм</t>
  </si>
  <si>
    <t xml:space="preserve">                                        501 - 600 мм</t>
  </si>
  <si>
    <t xml:space="preserve">                                        601 - 700 мм</t>
  </si>
  <si>
    <t>5.3.6.</t>
  </si>
  <si>
    <t xml:space="preserve">Замена участка надземного (фасадного) газопровода (врезка </t>
  </si>
  <si>
    <t>катушки) диаметром до 50 мм</t>
  </si>
  <si>
    <t xml:space="preserve">                                     51 - 100 мм </t>
  </si>
  <si>
    <t xml:space="preserve">                                     св.100 мм</t>
  </si>
  <si>
    <t>(При работе с приставной лестницы применять в пунктах 5.3.6-</t>
  </si>
  <si>
    <t>5.3.8 коэф. 1,2)</t>
  </si>
  <si>
    <t>5.3.7.</t>
  </si>
  <si>
    <r>
      <t xml:space="preserve">Обрезка  участка надземного (фасадного)  газопровода  </t>
    </r>
    <r>
      <rPr>
        <sz val="9"/>
        <rFont val="Arial Cyr"/>
        <family val="2"/>
        <charset val="204"/>
      </rPr>
      <t>до 50 мм</t>
    </r>
  </si>
  <si>
    <t xml:space="preserve">                                                                                   51 - 100 мм </t>
  </si>
  <si>
    <t xml:space="preserve">                                                                                    св.100 мм</t>
  </si>
  <si>
    <t>5.3.8.</t>
  </si>
  <si>
    <t>Обрезка недействующего газопровода (газового ввода) при</t>
  </si>
  <si>
    <t xml:space="preserve">                                      301 - 500 мм</t>
  </si>
  <si>
    <t>5.3.9.</t>
  </si>
  <si>
    <t>Ремонт сборного железобетонного газового колодца</t>
  </si>
  <si>
    <t xml:space="preserve">(В пунктах 5.3.9 - 5.3.14 при выполнении работ, связанных со </t>
  </si>
  <si>
    <t>снятием и установкой плиты перекрытия колодца, использовать</t>
  </si>
  <si>
    <t xml:space="preserve">пункт 5.3.39) 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</si>
  <si>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</si>
  <si>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</si>
  <si>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</si>
  <si>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</si>
  <si>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 xml:space="preserve">(среднего) давления с диаметром газопровода  до 100 мм </t>
  </si>
  <si>
    <t>компенсатор</t>
  </si>
  <si>
    <t xml:space="preserve">                                                                              101 - 200 мм</t>
  </si>
  <si>
    <t xml:space="preserve">                                                                              201 - 300 мм</t>
  </si>
  <si>
    <t xml:space="preserve">                                                                              301 - 400 мм</t>
  </si>
  <si>
    <t xml:space="preserve">                                                                              401 - 500 мм</t>
  </si>
  <si>
    <t xml:space="preserve">                                                                              501 - 600 мм</t>
  </si>
  <si>
    <t xml:space="preserve">                                                                              св.  600 мм</t>
  </si>
  <si>
    <t>5.3.12.</t>
  </si>
  <si>
    <t>Замена линзового компенсатора на газопроводе низкого</t>
  </si>
  <si>
    <t xml:space="preserve">давления с  диаметром газопровода  до 100 мм </t>
  </si>
  <si>
    <t xml:space="preserve">                                                               101 - 200 мм</t>
  </si>
  <si>
    <t xml:space="preserve">                                                               св. 200 мм</t>
  </si>
  <si>
    <t>5.3.13.</t>
  </si>
  <si>
    <t>Замена задвижки на газопроводе высокого (среднего) давления</t>
  </si>
  <si>
    <t xml:space="preserve">с диаметром газопровода  до 100 мм </t>
  </si>
  <si>
    <t xml:space="preserve">                                              101 - 200 мм</t>
  </si>
  <si>
    <t xml:space="preserve">                                              201 - 300 мм</t>
  </si>
  <si>
    <t xml:space="preserve">                                              301 - 400 мм</t>
  </si>
  <si>
    <t xml:space="preserve">                                              401 - 500 мм</t>
  </si>
  <si>
    <t xml:space="preserve">                                              501 - 600 мм</t>
  </si>
  <si>
    <t xml:space="preserve">                    .                         св.  600 мм</t>
  </si>
  <si>
    <t xml:space="preserve">(В пунктах 5.3.13 - 5.3.18 при работе с приставной лестницы </t>
  </si>
  <si>
    <t>применять коэф.1,2; в колодце- коэф.1,4)</t>
  </si>
  <si>
    <t>5.3.14.</t>
  </si>
  <si>
    <t>Замена задвижки на газопроводе низкого давления с диаметром</t>
  </si>
  <si>
    <t xml:space="preserve">                        101 - 200 мм</t>
  </si>
  <si>
    <t xml:space="preserve">                        св. 200 мм</t>
  </si>
  <si>
    <t xml:space="preserve"> </t>
  </si>
  <si>
    <t>5.3.15.</t>
  </si>
  <si>
    <t>Замена прокладок задвижки на газопроводе  высокого (среднего)</t>
  </si>
  <si>
    <t>давления с диаметром газопровода до 100 мм</t>
  </si>
  <si>
    <t xml:space="preserve">                                                             101 - 200 мм</t>
  </si>
  <si>
    <t xml:space="preserve">                                                             201 - 300 мм</t>
  </si>
  <si>
    <t xml:space="preserve">                                                             301 - 500 мм</t>
  </si>
  <si>
    <t xml:space="preserve">                                                             св. 500 мм</t>
  </si>
  <si>
    <t>5.3.16.</t>
  </si>
  <si>
    <t>Замена прокладок задвижки на газопроводе низкого давления</t>
  </si>
  <si>
    <t xml:space="preserve">с  диаметром газопровода до 100 мм </t>
  </si>
  <si>
    <t xml:space="preserve">                                            101 - 200 мм</t>
  </si>
  <si>
    <t xml:space="preserve">                                             св. 200 мм</t>
  </si>
  <si>
    <t>5.3.17.</t>
  </si>
  <si>
    <t>Замена сальниковой набивки на задвижке  газопровода высокого</t>
  </si>
  <si>
    <t>(среднего) давления с диаметром до 200 мм</t>
  </si>
  <si>
    <t xml:space="preserve">                                                          201 - 500 мм</t>
  </si>
  <si>
    <t xml:space="preserve">                                                          св. 500 мм</t>
  </si>
  <si>
    <t>5.3.18.</t>
  </si>
  <si>
    <t>Замена сальниковой набивки на задвижке газопровода низкого</t>
  </si>
  <si>
    <t>давления с диаметром до 200 мм</t>
  </si>
  <si>
    <t xml:space="preserve">                                       св. 200 мм</t>
  </si>
  <si>
    <t>5.3.19.</t>
  </si>
  <si>
    <t>Ремонт задвижки на газопроводе высокого (среднего)  давления</t>
  </si>
  <si>
    <t xml:space="preserve">                                      св. 500 мм</t>
  </si>
  <si>
    <t xml:space="preserve">(В пунктах 5.3.19 и 5.3.20 при выполнении работ, связанных со </t>
  </si>
  <si>
    <t xml:space="preserve"> пункт 5.3.39; при работе с приставной лестницы применять </t>
  </si>
  <si>
    <t>коэф.1,2; в колодце - коэф.1,4)</t>
  </si>
  <si>
    <t>5.3.20.</t>
  </si>
  <si>
    <t xml:space="preserve">Ремонт задвижки на газопроводе низкого давления с диаметром </t>
  </si>
  <si>
    <t xml:space="preserve">                    101 - 200 мм</t>
  </si>
  <si>
    <t xml:space="preserve">                    св. 200 мм</t>
  </si>
  <si>
    <t>5.3.21.</t>
  </si>
  <si>
    <t>Замена изолирующих втулок во фланцевых соединениях</t>
  </si>
  <si>
    <t>газопровода при диаметре до 100 мм</t>
  </si>
  <si>
    <t>фланец</t>
  </si>
  <si>
    <t xml:space="preserve">                                      101 - 300 мм</t>
  </si>
  <si>
    <t xml:space="preserve">                                      301 - 500 мм   </t>
  </si>
  <si>
    <t>5.3.22.</t>
  </si>
  <si>
    <t>Масляная окраска ранее окрашенных задвижек в нормальных</t>
  </si>
  <si>
    <t>условиях работы при диаметре газопровода  до 200 мм</t>
  </si>
  <si>
    <t xml:space="preserve">                                                                  201 - 500 мм</t>
  </si>
  <si>
    <t xml:space="preserve">                                                                  св. 500 мм</t>
  </si>
  <si>
    <t>5.3.23.</t>
  </si>
  <si>
    <t>Масляная окраска ранее окрашенных задвижек в неудобных</t>
  </si>
  <si>
    <t xml:space="preserve">условиях работы (на высоте с приставной лестницы) при </t>
  </si>
  <si>
    <t>диаметре газопровода  до 200 мм</t>
  </si>
  <si>
    <t xml:space="preserve">                                 201 - 500 мм</t>
  </si>
  <si>
    <t xml:space="preserve">                                 св. 500 мм</t>
  </si>
  <si>
    <t>5.3.24.</t>
  </si>
  <si>
    <t>Масляная окраска ранее окрашенных задвижек в колодце при</t>
  </si>
  <si>
    <t xml:space="preserve">диаметре газопровода  до 200 мм  </t>
  </si>
  <si>
    <t xml:space="preserve">                                201 - 500 мм</t>
  </si>
  <si>
    <t xml:space="preserve">                                св. 500 мм</t>
  </si>
  <si>
    <t>5.3.25.</t>
  </si>
  <si>
    <t>Масляная окраска ранее  окрашенных  линзовых компенсаторов</t>
  </si>
  <si>
    <t xml:space="preserve">при диаметре газопровода до 200 мм </t>
  </si>
  <si>
    <t xml:space="preserve">                                      201 - 500 мм</t>
  </si>
  <si>
    <t>5.3.26.</t>
  </si>
  <si>
    <t>Масляная окраска ранее  окрашенных надземных газопроводов,</t>
  </si>
  <si>
    <r>
      <t xml:space="preserve"> м</t>
    </r>
    <r>
      <rPr>
        <vertAlign val="superscript"/>
        <sz val="10"/>
        <rFont val="Arial Cyr"/>
        <family val="2"/>
        <charset val="204"/>
      </rPr>
      <t>2</t>
    </r>
    <r>
      <rPr>
        <sz val="12"/>
        <rFont val="Times New Roman"/>
        <family val="1"/>
        <charset val="204"/>
      </rPr>
      <t xml:space="preserve"> поверхн.</t>
    </r>
  </si>
  <si>
    <t>одна окраска</t>
  </si>
  <si>
    <t xml:space="preserve">(При двух окрасках применять коэф.1,5; при грунтовке-коэф.-1,3; </t>
  </si>
  <si>
    <t>при окраске с приставной лестницы применять коэф. 1,2)</t>
  </si>
  <si>
    <t>5.3.27.</t>
  </si>
  <si>
    <t>Замена крышки малого ковера</t>
  </si>
  <si>
    <t>5.3.28.</t>
  </si>
  <si>
    <t>То же, большого ковера</t>
  </si>
  <si>
    <t>5.3.29.</t>
  </si>
  <si>
    <t>Поднятие и опускание малого ковера при асфальтобетонном</t>
  </si>
  <si>
    <t>ковер</t>
  </si>
  <si>
    <t>эл.газосв.4 р.</t>
  </si>
  <si>
    <t>покрытии</t>
  </si>
  <si>
    <t>5.3.30.</t>
  </si>
  <si>
    <t>То же, без покрытия</t>
  </si>
  <si>
    <t>5.3.31.</t>
  </si>
  <si>
    <t>Поднятие и опускание большого ковера при асфальтобетонном                                                                                                                                      бетонном</t>
  </si>
  <si>
    <t>5.3.32.</t>
  </si>
  <si>
    <t>5.3.33.</t>
  </si>
  <si>
    <t>Замена ковера при асфальтобетонном покрытии</t>
  </si>
  <si>
    <t>11,84</t>
  </si>
  <si>
    <t>5.3.34.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</si>
  <si>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</si>
  <si>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</si>
  <si>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</si>
  <si>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</si>
  <si>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</si>
  <si>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</t>
  </si>
  <si>
    <t>люк</t>
  </si>
  <si>
    <t>5.3.38.</t>
  </si>
  <si>
    <t>5.3.39.</t>
  </si>
  <si>
    <t>Замена перекрытия газового колодца при асфальтобетонном</t>
  </si>
  <si>
    <t>перекрытие</t>
  </si>
  <si>
    <t xml:space="preserve">(При отсутствии асфальтобетонного покрытия применять </t>
  </si>
  <si>
    <t>коэф.0,4)</t>
  </si>
  <si>
    <t>5.3.40.</t>
  </si>
  <si>
    <t xml:space="preserve">Ремонт верхней части футляра газопровода- ввода (набивка </t>
  </si>
  <si>
    <t xml:space="preserve">уплонителем и заливка битумом) </t>
  </si>
  <si>
    <t>5.3.41.</t>
  </si>
  <si>
    <t>Ремонт футляра на  надземном газопроводе</t>
  </si>
  <si>
    <t>футляр</t>
  </si>
  <si>
    <t>5.3.42.</t>
  </si>
  <si>
    <t>Ремонт футляра на подземном газопроводе при асфальтобетон-</t>
  </si>
  <si>
    <t>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</si>
  <si>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</si>
  <si>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</si>
  <si>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</si>
  <si>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</si>
  <si>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</si>
  <si>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 xml:space="preserve">Замена  футляра на подземном газопроводе с заливкой битумом </t>
  </si>
  <si>
    <t>концов футляра при диаметре до 200 мм</t>
  </si>
  <si>
    <t xml:space="preserve">                                               св.200 мм</t>
  </si>
  <si>
    <t>5.3.46.</t>
  </si>
  <si>
    <t xml:space="preserve">Замена вертикального футляра на надземном газопроводе с </t>
  </si>
  <si>
    <t>заливкой битумом верхнего конца футляра</t>
  </si>
  <si>
    <t>5.3.47.</t>
  </si>
  <si>
    <t>Пуск  газа  в газопроводы  наружных сетей  после выполнения</t>
  </si>
  <si>
    <t>пуск</t>
  </si>
  <si>
    <t>ремонтных работ при длине газопровода до 50 м и диаметре</t>
  </si>
  <si>
    <t>50 - 100 мм</t>
  </si>
  <si>
    <t>(На каждые дополнительные 10 м длины в пунктах 5.3.47 и 5.3.48</t>
  </si>
  <si>
    <t xml:space="preserve"> применять коэф.0,2)</t>
  </si>
  <si>
    <t>5.3.48.</t>
  </si>
  <si>
    <t>ремонтных  работ  при  длине  газопровода до 50 м и диаметре</t>
  </si>
  <si>
    <t>101 - 200 мм</t>
  </si>
  <si>
    <t xml:space="preserve">(При диаметре газопровода св.200 мм длиной до 50 м на каждые </t>
  </si>
  <si>
    <t xml:space="preserve">100 мм наружного диаметра применять коэф.1,25; на каждые </t>
  </si>
  <si>
    <t>дополнительные 10 м длины - коэф.0,2)</t>
  </si>
  <si>
    <t>5.3.49.</t>
  </si>
  <si>
    <t xml:space="preserve">Проверка на прочность и герметичность газопроводов-вводов  </t>
  </si>
  <si>
    <t>проверка</t>
  </si>
  <si>
    <t>при длине до 20 м (два ввода) и диаметре  до 100 мм</t>
  </si>
  <si>
    <t>(На каждые дополнительные 10 м длины в пунктах 5.3.49 и 5.3.50</t>
  </si>
  <si>
    <t xml:space="preserve"> применять коэф.0,25)</t>
  </si>
  <si>
    <t>5.3.50.</t>
  </si>
  <si>
    <t>при длине до 20 м (два ввода) и диаметре  101 - 200 мм</t>
  </si>
  <si>
    <t>5.3.51.</t>
  </si>
  <si>
    <t>Проверка герметичности подземного газопровода опрессовкой</t>
  </si>
  <si>
    <t>при диаметре до 100 мм</t>
  </si>
  <si>
    <t xml:space="preserve">                  101 - 300 мм</t>
  </si>
  <si>
    <t xml:space="preserve">                  св. 300 мм</t>
  </si>
  <si>
    <t>5.3.52.</t>
  </si>
  <si>
    <t xml:space="preserve">Продувка наружного газопровода при диаметре газопровода </t>
  </si>
  <si>
    <t xml:space="preserve">                                                                                 до 100 мм </t>
  </si>
  <si>
    <t xml:space="preserve">                                                                                 101 - 300 мм</t>
  </si>
  <si>
    <t xml:space="preserve">                                                                                 301 - 500 мм</t>
  </si>
  <si>
    <t xml:space="preserve">                                                                                 св. 500 мм</t>
  </si>
  <si>
    <t>5.3.53.</t>
  </si>
  <si>
    <t>Ремонт опор под надземный газопровод</t>
  </si>
  <si>
    <t>опора</t>
  </si>
  <si>
    <t>(При работе на высоте с приставной лестницы примен. коэф.1,2)</t>
  </si>
  <si>
    <t>5.3.54.</t>
  </si>
  <si>
    <t>То же,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</si>
  <si>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</si>
  <si>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</si>
  <si>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</si>
  <si>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</si>
  <si>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</si>
  <si>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</si>
  <si>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</si>
  <si>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откл. устр-во</t>
  </si>
  <si>
    <t>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</si>
  <si>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</si>
  <si>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</si>
  <si>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</si>
  <si>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</si>
  <si>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 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</si>
  <si>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</si>
  <si>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</si>
  <si>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</si>
  <si>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</si>
  <si>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задвижки с установкой заглушки при диаметре задвижки</t>
  </si>
  <si>
    <t xml:space="preserve">                                                                                  до 100 мм</t>
  </si>
  <si>
    <t xml:space="preserve">                                                                                  св. 100 мм</t>
  </si>
  <si>
    <t>5.3.61.</t>
  </si>
  <si>
    <t>Отключение подземного закольцованного газопровода при</t>
  </si>
  <si>
    <t xml:space="preserve">диаметре задвижки  до 100 мм </t>
  </si>
  <si>
    <t xml:space="preserve">                                   св. 100 мм</t>
  </si>
  <si>
    <t>5.3.62.</t>
  </si>
  <si>
    <t>Установка или снятие заглушки на газопроводе - вводе</t>
  </si>
  <si>
    <t>5.3.63.</t>
  </si>
  <si>
    <t>Установка или снятие заглушки 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</si>
  <si>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</si>
  <si>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</si>
  <si>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</si>
  <si>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 - 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</si>
  <si>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</si>
  <si>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</si>
  <si>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</si>
  <si>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</si>
  <si>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ремонтных работ (6 - 15 домов на вводе)</t>
  </si>
  <si>
    <t>5.3.68.</t>
  </si>
  <si>
    <t>ремонтных работ (св.15 домов на вводе)</t>
  </si>
  <si>
    <t xml:space="preserve">Примечание - При ремонте трасс полиэтиленовых газопроводов, арматуры и сооружений применяются цены настоящего </t>
  </si>
  <si>
    <t xml:space="preserve">                        прейскуранта по следующим пунктам: 5.3.2, 5.3.9 - 5.3.10, 5.3.13 - 5.3.20, 5.3.27 - 5.3.40, 5.3.42 - 5.3.45,</t>
  </si>
  <si>
    <t xml:space="preserve">                        5.3.47 - 5.3.52, 5.3.57, 5.3.59 - 5.3.64, 5.3.66 - 5.3.68.</t>
  </si>
  <si>
    <t>Глава 4. ДИАГНОСТИКА ТЕХНИЧЕСКОГО СОСТОЯНИЯ ПОДЗЕМНЫХ ГАЗОПРОВОДОВ</t>
  </si>
  <si>
    <t>5.4.1.</t>
  </si>
  <si>
    <t>Анализ технической документации и разработка программы</t>
  </si>
  <si>
    <t>программа</t>
  </si>
  <si>
    <t>диагностики</t>
  </si>
  <si>
    <t>инженер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</si>
  <si>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</si>
  <si>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</si>
  <si>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</si>
  <si>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</si>
  <si>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</si>
  <si>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</t>
  </si>
  <si>
    <t>аппаратурой типа АНТПИ, С-Scan</t>
  </si>
  <si>
    <t>5.4.5.</t>
  </si>
  <si>
    <t>Уточнение точечных мест повреждения изоляции аппаратурой</t>
  </si>
  <si>
    <t xml:space="preserve">типа АНТПИ </t>
  </si>
  <si>
    <t>5.4.6.</t>
  </si>
  <si>
    <t>Оценка состояния металла газопровода. Выявление участков</t>
  </si>
  <si>
    <t>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</si>
  <si>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</si>
  <si>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</si>
  <si>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</si>
  <si>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</si>
  <si>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экскаваторщ.</t>
  </si>
  <si>
    <t>бульдозерист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</si>
  <si>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</si>
  <si>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</si>
  <si>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</si>
  <si>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</si>
  <si>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</si>
  <si>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</si>
  <si>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</si>
  <si>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</si>
  <si>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</si>
  <si>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напряженно-деформированного</t>
  </si>
  <si>
    <t>состояния трубы (замер и расчет ударной вязкости металла</t>
  </si>
  <si>
    <t>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</si>
  <si>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</si>
  <si>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</si>
  <si>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</si>
  <si>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газопрово-</t>
  </si>
  <si>
    <t>отчет</t>
  </si>
  <si>
    <t xml:space="preserve">мастер </t>
  </si>
  <si>
    <t xml:space="preserve">да на весь срок продления жизненного цикла или обоснование </t>
  </si>
  <si>
    <t>необходимости его замены, составление отчета</t>
  </si>
  <si>
    <t>Техническое обслуживание задвижки (крана) на фасадном наружном газопроводе дома индивидуальной застройки диаметром</t>
  </si>
  <si>
    <t>Отношение Гипрониигаз/СВГК</t>
  </si>
  <si>
    <t>Сравнение трудозатрат ПРЕЙСКУРАНТ ЦЕН ООО "СВГК"</t>
  </si>
  <si>
    <t>ВНУТРЕННИЕ ГАЗОПРОВОДЫ И БЫТОВОЕ ГАЗОВОЕ ОБОРУДОВАНИЕ ЖИЛЫХ ЗДАНИЙ</t>
  </si>
  <si>
    <r>
      <t>Договорная цена, руб. с понижающим коэффициентом</t>
    </r>
    <r>
      <rPr>
        <b/>
        <sz val="12"/>
        <rFont val="Garamond"/>
        <family val="1"/>
      </rPr>
      <t xml:space="preserve"> 0,8                          </t>
    </r>
    <r>
      <rPr>
        <sz val="12"/>
        <rFont val="Garamond"/>
        <family val="1"/>
      </rPr>
      <t xml:space="preserve"> </t>
    </r>
  </si>
  <si>
    <r>
      <t xml:space="preserve">Договорная цена, руб. с понижающим коэффициентом </t>
    </r>
    <r>
      <rPr>
        <b/>
        <sz val="12"/>
        <rFont val="Garamond"/>
        <family val="1"/>
      </rPr>
      <t xml:space="preserve"> 0,7           </t>
    </r>
  </si>
  <si>
    <r>
      <t xml:space="preserve">Договорная цена, руб. с понижающим коэффициентом  </t>
    </r>
    <r>
      <rPr>
        <b/>
        <sz val="12"/>
        <rFont val="Garamond"/>
        <family val="1"/>
      </rPr>
      <t xml:space="preserve">0,6                                </t>
    </r>
  </si>
  <si>
    <t>НА РАБОТЫ ПО ТЕХНИЧЕСКОЙ ЭКСПЛУАТАЦИИ ВНУТРИДОМОВОГО ГАЗОВОГО ОБОРУДОВАНИЯ</t>
  </si>
  <si>
    <t>Расчет без переездов</t>
  </si>
  <si>
    <t>Трудозатраты на ед.изм., чел.час.</t>
  </si>
  <si>
    <r>
      <t xml:space="preserve">Договорная цена </t>
    </r>
    <r>
      <rPr>
        <b/>
        <sz val="10"/>
        <rFont val="Arial Cyr"/>
        <family val="2"/>
        <charset val="204"/>
      </rPr>
      <t>в месяц</t>
    </r>
    <r>
      <rPr>
        <sz val="12"/>
        <rFont val="Times New Roman"/>
        <family val="1"/>
        <charset val="204"/>
      </rPr>
      <t>, руб. для населения (c НДС) периодичность 1 раз в 1 год</t>
    </r>
  </si>
  <si>
    <r>
      <t xml:space="preserve">Договорная цена </t>
    </r>
    <r>
      <rPr>
        <b/>
        <sz val="10"/>
        <rFont val="Arial Cyr"/>
        <family val="2"/>
        <charset val="204"/>
      </rPr>
      <t>в месяц</t>
    </r>
    <r>
      <rPr>
        <sz val="12"/>
        <rFont val="Times New Roman"/>
        <family val="1"/>
        <charset val="204"/>
      </rPr>
      <t>, руб. для населения (c НДС) периодичность 1 раз в 3 года</t>
    </r>
  </si>
  <si>
    <t>Чистое время без доезда (К=1,44)</t>
  </si>
  <si>
    <t>время доезда, час</t>
  </si>
  <si>
    <t>время доезда в расчете на 1 прибор, час.</t>
  </si>
  <si>
    <t>Кол-во приборов за 8 часов работы по чистому времени</t>
  </si>
  <si>
    <t xml:space="preserve"> коэф себестоимости</t>
  </si>
  <si>
    <t>гр.6=гр.5/1,44</t>
  </si>
  <si>
    <t>гр.8=гр.7/гр.10</t>
  </si>
  <si>
    <t>гр.9=8час/гр.6</t>
  </si>
  <si>
    <t>Техническое обслуживание газовой плиты повышенной комфортности (имортного производства)</t>
  </si>
  <si>
    <t>Техническое обслуживание емкостного водонагревателя типа АГВ</t>
  </si>
  <si>
    <t>Техническое обслуживание емкостного водонагревателя типа АОГВ</t>
  </si>
  <si>
    <t>Техническое обслуживание емкостного водонагревателя импортного производства</t>
  </si>
  <si>
    <t xml:space="preserve">Техническое обслуживание отопительной печи </t>
  </si>
  <si>
    <t>Проверка герметичности внутреннего газопровода в жилом доме индивидуальной застройки и газового оборудования при количестве приборов на одном стояке до  5</t>
  </si>
  <si>
    <t>Техническое обслуживание задвижки на фасадном наружном газопроводе дома индивидуальной застройки диаметром до 50 мм</t>
  </si>
  <si>
    <t>Ремонтно-заявочное обслуживание на 1 единицу оборудования</t>
  </si>
  <si>
    <t>Аварийное обслуживание на 1 единицу оборудования</t>
  </si>
  <si>
    <t>Примечание. Работы по техническому обслуживанию газопроводов и газового оборудования выполняет слесарь по эксплуатации и ремонту газового оборудования.</t>
  </si>
  <si>
    <t>Средние трудозатраты на ремонт плит</t>
  </si>
  <si>
    <t>Средние трудозатраты на ремонт водонагревателя проточного</t>
  </si>
  <si>
    <t>газосв. 5-6 р.</t>
  </si>
  <si>
    <t>Средние трудозатраты на ремонт водонагревателя емкостного</t>
  </si>
  <si>
    <t>Средние трудозатраты на ремонт Агрегат "Lennox"</t>
  </si>
  <si>
    <t>16.1</t>
  </si>
  <si>
    <t>16.2</t>
  </si>
  <si>
    <t>Проверка герметичности газопровода в жилом доме индивидуальной застройки мыльной эмульсией или приборным методом</t>
  </si>
  <si>
    <t>газопровод</t>
  </si>
  <si>
    <t>19</t>
  </si>
  <si>
    <t>20</t>
  </si>
  <si>
    <t>19.1</t>
  </si>
  <si>
    <t>19.2</t>
  </si>
  <si>
    <t>19.3</t>
  </si>
  <si>
    <t>19.4</t>
  </si>
  <si>
    <t>20.1</t>
  </si>
  <si>
    <t>20.2</t>
  </si>
  <si>
    <t>20.3</t>
  </si>
  <si>
    <t>20.4</t>
  </si>
  <si>
    <t>Техническое обслуживание варочной панели:</t>
  </si>
  <si>
    <t>Техническое обслуживание духового газового шкафа</t>
  </si>
  <si>
    <t>духовой шкаф</t>
  </si>
  <si>
    <t>Техническое обслуживание плиты пятигорелочной и более</t>
  </si>
  <si>
    <r>
      <t xml:space="preserve">Техническое обслуживание варочной панели </t>
    </r>
    <r>
      <rPr>
        <b/>
        <sz val="12"/>
        <rFont val="Garamond"/>
        <family val="1"/>
      </rPr>
      <t>двухгорелочной</t>
    </r>
  </si>
  <si>
    <r>
      <t xml:space="preserve">Техническое обслуживание  варочной панели </t>
    </r>
    <r>
      <rPr>
        <b/>
        <sz val="12"/>
        <rFont val="Garamond"/>
        <family val="1"/>
      </rPr>
      <t>трехгорелочной</t>
    </r>
  </si>
  <si>
    <r>
      <t xml:space="preserve">Техническое обслуживание варочной панели </t>
    </r>
    <r>
      <rPr>
        <b/>
        <sz val="12"/>
        <rFont val="Garamond"/>
        <family val="1"/>
      </rPr>
      <t>четырехгорелочной</t>
    </r>
  </si>
  <si>
    <r>
      <t>Техническое обслуживание варочной панели</t>
    </r>
    <r>
      <rPr>
        <b/>
        <sz val="12"/>
        <rFont val="Garamond"/>
        <family val="1"/>
      </rPr>
      <t xml:space="preserve"> пятигорелочной и более</t>
    </r>
  </si>
  <si>
    <t>пятигорелочными</t>
  </si>
  <si>
    <t>15.2.5.</t>
  </si>
  <si>
    <t xml:space="preserve">* Стоимость технического обслуживания емкостного водонагревателя (отопительного котла) мощностью более 6 кВт определяется на основании действующего  Прейскуранта на работы по техническому обслуживанию внутридомового газового оборудования импортного или отечественного производства, с высокой степенью автоматизации, допущенного к работе в автоматическом (автономном) режиме и (или) укомплектованного электронными датчиками и (или) контроллерами. </t>
  </si>
  <si>
    <t>* Примечание. Данные расценки применяются при отсутствии инженерно-технической документации и технического паспорта (с указанием жилой площади) на многоквартирный жилой дом (предоставляется физическим лицом)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</si>
</sst>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??0.00"/>
    <numFmt numFmtId="166" formatCode="0.000"/>
    <numFmt numFmtId="167" formatCode="0.0"/>
    <numFmt numFmtId="168" formatCode="0.0%"/>
    <numFmt numFmtId="169" formatCode="_-* #,##0\ _р_._-;\-* #,##0\ _р_._-;_-* &quot;-&quot;\ _р_._-;_-@_-"/>
    <numFmt numFmtId="170" formatCode="_-* #,##0.00\ _р_._-;\-* #,##0.00\ _р_._-;_-* &quot;-&quot;??\ _р_._-;_-@_-"/>
    <numFmt numFmtId="171" formatCode="0.0000"/>
    <numFmt numFmtId="172" formatCode="??0.000"/>
    <numFmt numFmtId="173" formatCode="??0"/>
    <numFmt numFmtId="174" formatCode="#,##0.0000"/>
    <numFmt numFmtId="175" formatCode="#,##0.00_р_."/>
  </numFmts>
  <fonts count="8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Garamond"/>
      <family val="1"/>
    </font>
    <font>
      <sz val="13"/>
      <name val="Garamond"/>
      <family val="1"/>
    </font>
    <font>
      <b/>
      <sz val="12"/>
      <color indexed="12"/>
      <name val="Garamond"/>
      <family val="1"/>
      <charset val="204"/>
    </font>
    <font>
      <sz val="12"/>
      <color indexed="12"/>
      <name val="Garamond"/>
      <family val="1"/>
    </font>
    <font>
      <b/>
      <sz val="14"/>
      <name val="Garamond"/>
      <family val="1"/>
      <charset val="204"/>
    </font>
    <font>
      <sz val="14"/>
      <name val="Garamond"/>
      <family val="1"/>
      <charset val="204"/>
    </font>
    <font>
      <b/>
      <sz val="12"/>
      <name val="Garamond"/>
      <family val="1"/>
    </font>
    <font>
      <b/>
      <sz val="14"/>
      <name val="Garamond"/>
      <family val="1"/>
    </font>
    <font>
      <b/>
      <u/>
      <sz val="12"/>
      <name val="Garamond"/>
      <family val="1"/>
      <charset val="204"/>
    </font>
    <font>
      <b/>
      <sz val="12"/>
      <name val="Garamond"/>
      <family val="1"/>
      <charset val="204"/>
    </font>
    <font>
      <b/>
      <sz val="12"/>
      <color indexed="12"/>
      <name val="Garamond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3"/>
      <name val="Garamond"/>
      <family val="1"/>
      <charset val="204"/>
    </font>
    <font>
      <b/>
      <sz val="13"/>
      <name val="Garamond"/>
      <family val="1"/>
    </font>
    <font>
      <sz val="12"/>
      <name val="Times New Roman"/>
      <family val="1"/>
      <charset val="204"/>
    </font>
    <font>
      <sz val="13"/>
      <name val="Garamond"/>
      <family val="1"/>
      <charset val="204"/>
    </font>
    <font>
      <sz val="13"/>
      <color indexed="10"/>
      <name val="Garamond"/>
      <family val="1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indexed="12"/>
      <name val="Times New Roman Cyr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8"/>
      <color indexed="12"/>
      <name val="Garamond"/>
      <family val="1"/>
      <charset val="204"/>
    </font>
    <font>
      <sz val="12"/>
      <name val="Garamond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Garamond"/>
      <family val="1"/>
    </font>
    <font>
      <b/>
      <u/>
      <sz val="10"/>
      <name val="Garamond"/>
      <family val="1"/>
    </font>
    <font>
      <b/>
      <sz val="10"/>
      <name val="Garamond"/>
      <family val="1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Courier New Cyr"/>
      <charset val="204"/>
    </font>
    <font>
      <sz val="9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vertAlign val="superscript"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color theme="7" tint="-0.249977111117893"/>
      <name val="Garamond"/>
      <family val="1"/>
      <charset val="204"/>
    </font>
    <font>
      <sz val="10"/>
      <color theme="7" tint="-0.249977111117893"/>
      <name val="Arial Cyr"/>
      <charset val="204"/>
    </font>
    <font>
      <sz val="11"/>
      <color theme="7" tint="-0.249977111117893"/>
      <name val="Arial Cyr"/>
      <charset val="204"/>
    </font>
    <font>
      <b/>
      <sz val="11"/>
      <color theme="7" tint="-0.249977111117893"/>
      <name val="Arial Cyr"/>
      <charset val="204"/>
    </font>
  </fonts>
  <fills count="4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4" fillId="2" borderId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>
      <alignment horizontal="left" vertical="center"/>
    </xf>
    <xf numFmtId="0" fontId="44" fillId="0" borderId="1"/>
    <xf numFmtId="0" fontId="44" fillId="0" borderId="0"/>
    <xf numFmtId="0" fontId="48" fillId="9" borderId="0">
      <alignment horizontal="left" vertical="center"/>
    </xf>
    <xf numFmtId="0" fontId="47" fillId="18" borderId="0">
      <alignment horizontal="left" vertical="center"/>
    </xf>
    <xf numFmtId="0" fontId="49" fillId="7" borderId="0">
      <alignment horizontal="center" vertical="center"/>
    </xf>
    <xf numFmtId="0" fontId="50" fillId="17" borderId="0">
      <alignment horizontal="center" vertical="center"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2" borderId="0" applyNumberFormat="0" applyBorder="0" applyAlignment="0" applyProtection="0"/>
    <xf numFmtId="0" fontId="51" fillId="8" borderId="2" applyNumberFormat="0" applyAlignment="0" applyProtection="0"/>
    <xf numFmtId="0" fontId="52" fillId="23" borderId="3" applyNumberFormat="0" applyAlignment="0" applyProtection="0"/>
    <xf numFmtId="0" fontId="53" fillId="23" borderId="2" applyNumberFormat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4" borderId="8" applyNumberFormat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6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8" borderId="9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6" fillId="5" borderId="0" applyNumberFormat="0" applyBorder="0" applyAlignment="0" applyProtection="0"/>
  </cellStyleXfs>
  <cellXfs count="10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165" fontId="3" fillId="26" borderId="12" xfId="0" applyNumberFormat="1" applyFont="1" applyFill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5" fillId="0" borderId="13" xfId="0" applyFont="1" applyBorder="1"/>
    <xf numFmtId="2" fontId="6" fillId="0" borderId="13" xfId="0" applyNumberFormat="1" applyFont="1" applyBorder="1"/>
    <xf numFmtId="0" fontId="5" fillId="0" borderId="12" xfId="0" applyFont="1" applyBorder="1"/>
    <xf numFmtId="2" fontId="6" fillId="0" borderId="12" xfId="0" applyNumberFormat="1" applyFont="1" applyBorder="1"/>
    <xf numFmtId="49" fontId="3" fillId="0" borderId="12" xfId="0" applyNumberFormat="1" applyFont="1" applyFill="1" applyBorder="1" applyAlignment="1">
      <alignment horizontal="center"/>
    </xf>
    <xf numFmtId="165" fontId="3" fillId="27" borderId="1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/>
    <xf numFmtId="0" fontId="3" fillId="0" borderId="0" xfId="0" applyFont="1" applyFill="1"/>
    <xf numFmtId="2" fontId="6" fillId="0" borderId="12" xfId="0" applyNumberFormat="1" applyFont="1" applyFill="1" applyBorder="1"/>
    <xf numFmtId="0" fontId="3" fillId="28" borderId="0" xfId="0" applyFont="1" applyFill="1"/>
    <xf numFmtId="0" fontId="5" fillId="0" borderId="12" xfId="0" applyFont="1" applyFill="1" applyBorder="1"/>
    <xf numFmtId="2" fontId="3" fillId="0" borderId="12" xfId="0" applyNumberFormat="1" applyFont="1" applyBorder="1" applyAlignment="1">
      <alignment horizontal="center"/>
    </xf>
    <xf numFmtId="0" fontId="6" fillId="0" borderId="12" xfId="0" applyFont="1" applyBorder="1"/>
    <xf numFmtId="0" fontId="5" fillId="0" borderId="14" xfId="0" applyFont="1" applyBorder="1"/>
    <xf numFmtId="0" fontId="6" fillId="0" borderId="14" xfId="0" applyFont="1" applyBorder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3" fillId="0" borderId="0" xfId="0" applyFont="1"/>
    <xf numFmtId="0" fontId="9" fillId="0" borderId="0" xfId="0" applyFont="1"/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2" fontId="3" fillId="0" borderId="0" xfId="0" applyNumberFormat="1" applyFont="1"/>
    <xf numFmtId="49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3" fontId="6" fillId="0" borderId="12" xfId="0" applyNumberFormat="1" applyFont="1" applyFill="1" applyBorder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right" vertical="top"/>
    </xf>
    <xf numFmtId="0" fontId="3" fillId="0" borderId="12" xfId="0" applyFont="1" applyFill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vertical="top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5" fontId="3" fillId="26" borderId="14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5" fontId="3" fillId="27" borderId="14" xfId="0" applyNumberFormat="1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/>
    <xf numFmtId="0" fontId="4" fillId="0" borderId="12" xfId="0" applyFont="1" applyBorder="1"/>
    <xf numFmtId="4" fontId="12" fillId="29" borderId="12" xfId="0" applyNumberFormat="1" applyFont="1" applyFill="1" applyBorder="1" applyAlignment="1">
      <alignment horizontal="center"/>
    </xf>
    <xf numFmtId="4" fontId="12" fillId="29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/>
    </xf>
    <xf numFmtId="2" fontId="4" fillId="0" borderId="12" xfId="0" applyNumberFormat="1" applyFont="1" applyBorder="1"/>
    <xf numFmtId="4" fontId="12" fillId="29" borderId="12" xfId="0" applyNumberFormat="1" applyFont="1" applyFill="1" applyBorder="1" applyAlignment="1">
      <alignment horizontal="center" vertical="top"/>
    </xf>
    <xf numFmtId="4" fontId="12" fillId="29" borderId="12" xfId="0" applyNumberFormat="1" applyFont="1" applyFill="1" applyBorder="1" applyAlignment="1">
      <alignment vertical="top" wrapText="1"/>
    </xf>
    <xf numFmtId="4" fontId="12" fillId="29" borderId="12" xfId="0" applyNumberFormat="1" applyFont="1" applyFill="1" applyBorder="1" applyAlignment="1">
      <alignment horizontal="center" wrapText="1"/>
    </xf>
    <xf numFmtId="4" fontId="12" fillId="29" borderId="0" xfId="0" applyNumberFormat="1" applyFont="1" applyFill="1"/>
    <xf numFmtId="4" fontId="12" fillId="29" borderId="17" xfId="0" applyNumberFormat="1" applyFont="1" applyFill="1" applyBorder="1" applyAlignment="1">
      <alignment horizontal="center" vertical="top"/>
    </xf>
    <xf numFmtId="4" fontId="12" fillId="29" borderId="17" xfId="0" applyNumberFormat="1" applyFont="1" applyFill="1" applyBorder="1" applyAlignment="1">
      <alignment vertical="top" wrapText="1"/>
    </xf>
    <xf numFmtId="4" fontId="12" fillId="29" borderId="17" xfId="0" applyNumberFormat="1" applyFont="1" applyFill="1" applyBorder="1" applyAlignment="1">
      <alignment horizontal="center" wrapText="1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3" fontId="18" fillId="0" borderId="21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2" fontId="4" fillId="0" borderId="2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4" fontId="12" fillId="29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66" fontId="3" fillId="0" borderId="12" xfId="0" applyNumberFormat="1" applyFont="1" applyBorder="1"/>
    <xf numFmtId="166" fontId="12" fillId="29" borderId="12" xfId="0" applyNumberFormat="1" applyFont="1" applyFill="1" applyBorder="1"/>
    <xf numFmtId="166" fontId="12" fillId="29" borderId="14" xfId="0" applyNumberFormat="1" applyFont="1" applyFill="1" applyBorder="1"/>
    <xf numFmtId="165" fontId="3" fillId="30" borderId="12" xfId="0" applyNumberFormat="1" applyFont="1" applyFill="1" applyBorder="1" applyAlignment="1">
      <alignment horizontal="center"/>
    </xf>
    <xf numFmtId="0" fontId="3" fillId="0" borderId="17" xfId="0" applyFont="1" applyBorder="1"/>
    <xf numFmtId="165" fontId="3" fillId="0" borderId="17" xfId="0" applyNumberFormat="1" applyFont="1" applyBorder="1"/>
    <xf numFmtId="0" fontId="3" fillId="0" borderId="17" xfId="0" applyFont="1" applyFill="1" applyBorder="1"/>
    <xf numFmtId="4" fontId="12" fillId="29" borderId="17" xfId="0" applyNumberFormat="1" applyFont="1" applyFill="1" applyBorder="1"/>
    <xf numFmtId="3" fontId="18" fillId="0" borderId="29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/>
    </xf>
    <xf numFmtId="0" fontId="19" fillId="0" borderId="26" xfId="0" applyFont="1" applyBorder="1" applyAlignment="1">
      <alignment horizontal="left" vertical="center" indent="3"/>
    </xf>
    <xf numFmtId="0" fontId="19" fillId="0" borderId="23" xfId="0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4" fillId="0" borderId="26" xfId="0" applyNumberFormat="1" applyFont="1" applyBorder="1" applyAlignment="1">
      <alignment horizontal="left" vertical="top" wrapText="1" indent="1"/>
    </xf>
    <xf numFmtId="0" fontId="4" fillId="0" borderId="2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19" fillId="0" borderId="28" xfId="0" applyFont="1" applyBorder="1" applyAlignment="1">
      <alignment horizontal="left" vertical="center" indent="3"/>
    </xf>
    <xf numFmtId="0" fontId="19" fillId="0" borderId="35" xfId="0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2" fontId="6" fillId="0" borderId="14" xfId="0" applyNumberFormat="1" applyFont="1" applyBorder="1"/>
    <xf numFmtId="166" fontId="3" fillId="0" borderId="14" xfId="0" applyNumberFormat="1" applyFont="1" applyBorder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4" fillId="0" borderId="20" xfId="0" applyFont="1" applyFill="1" applyBorder="1"/>
    <xf numFmtId="2" fontId="4" fillId="0" borderId="26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9" xfId="0" applyFont="1" applyBorder="1"/>
    <xf numFmtId="3" fontId="18" fillId="0" borderId="12" xfId="0" applyNumberFormat="1" applyFont="1" applyFill="1" applyBorder="1" applyAlignment="1">
      <alignment horizontal="center"/>
    </xf>
    <xf numFmtId="0" fontId="20" fillId="0" borderId="26" xfId="0" applyFont="1" applyBorder="1" applyAlignment="1">
      <alignment horizontal="left" vertical="top" indent="1"/>
    </xf>
    <xf numFmtId="0" fontId="21" fillId="0" borderId="0" xfId="0" applyFont="1"/>
    <xf numFmtId="2" fontId="4" fillId="0" borderId="12" xfId="0" applyNumberFormat="1" applyFont="1" applyFill="1" applyBorder="1" applyAlignment="1">
      <alignment horizontal="center"/>
    </xf>
    <xf numFmtId="2" fontId="4" fillId="0" borderId="14" xfId="0" applyNumberFormat="1" applyFont="1" applyBorder="1"/>
    <xf numFmtId="4" fontId="23" fillId="0" borderId="17" xfId="63" applyNumberFormat="1" applyFont="1" applyBorder="1" applyAlignment="1">
      <alignment horizontal="center" vertical="center"/>
    </xf>
    <xf numFmtId="0" fontId="19" fillId="0" borderId="0" xfId="52" applyFont="1"/>
    <xf numFmtId="0" fontId="27" fillId="0" borderId="0" xfId="52" applyFont="1"/>
    <xf numFmtId="0" fontId="27" fillId="0" borderId="0" xfId="52" applyFont="1" applyAlignment="1">
      <alignment horizontal="right"/>
    </xf>
    <xf numFmtId="0" fontId="19" fillId="0" borderId="0" xfId="52" applyFont="1" applyAlignment="1">
      <alignment wrapText="1"/>
    </xf>
    <xf numFmtId="0" fontId="19" fillId="0" borderId="0" xfId="52" applyFont="1" applyAlignment="1"/>
    <xf numFmtId="0" fontId="26" fillId="0" borderId="0" xfId="52" applyFont="1" applyAlignment="1"/>
    <xf numFmtId="0" fontId="26" fillId="0" borderId="0" xfId="52" applyFont="1" applyBorder="1" applyAlignment="1"/>
    <xf numFmtId="0" fontId="19" fillId="0" borderId="15" xfId="52" applyFont="1" applyBorder="1" applyAlignment="1">
      <alignment horizontal="center" vertical="center" wrapText="1"/>
    </xf>
    <xf numFmtId="0" fontId="19" fillId="0" borderId="17" xfId="52" applyFont="1" applyBorder="1" applyAlignment="1">
      <alignment horizontal="center" vertical="center" wrapText="1"/>
    </xf>
    <xf numFmtId="0" fontId="19" fillId="0" borderId="0" xfId="52" applyFont="1" applyBorder="1"/>
    <xf numFmtId="0" fontId="28" fillId="0" borderId="17" xfId="52" applyFont="1" applyBorder="1" applyAlignment="1">
      <alignment horizontal="center" vertical="center"/>
    </xf>
    <xf numFmtId="0" fontId="28" fillId="0" borderId="17" xfId="52" applyFont="1" applyBorder="1" applyAlignment="1">
      <alignment horizontal="center" vertical="center" wrapText="1"/>
    </xf>
    <xf numFmtId="2" fontId="28" fillId="0" borderId="17" xfId="52" applyNumberFormat="1" applyFont="1" applyBorder="1" applyAlignment="1">
      <alignment horizontal="center" vertical="center"/>
    </xf>
    <xf numFmtId="4" fontId="28" fillId="0" borderId="17" xfId="63" applyNumberFormat="1" applyFont="1" applyBorder="1" applyAlignment="1">
      <alignment horizontal="center" vertical="center"/>
    </xf>
    <xf numFmtId="0" fontId="28" fillId="0" borderId="0" xfId="52" applyFont="1"/>
    <xf numFmtId="0" fontId="26" fillId="0" borderId="17" xfId="52" applyFont="1" applyBorder="1" applyAlignment="1">
      <alignment horizontal="center" vertical="center"/>
    </xf>
    <xf numFmtId="0" fontId="19" fillId="0" borderId="17" xfId="52" applyFont="1" applyBorder="1"/>
    <xf numFmtId="4" fontId="26" fillId="0" borderId="17" xfId="52" applyNumberFormat="1" applyFont="1" applyBorder="1" applyAlignment="1">
      <alignment horizontal="center" vertical="center"/>
    </xf>
    <xf numFmtId="2" fontId="29" fillId="0" borderId="17" xfId="52" applyNumberFormat="1" applyFont="1" applyBorder="1" applyAlignment="1">
      <alignment horizontal="center" vertical="center"/>
    </xf>
    <xf numFmtId="0" fontId="19" fillId="0" borderId="0" xfId="52" applyFont="1" applyBorder="1" applyAlignment="1">
      <alignment horizontal="center" vertical="center"/>
    </xf>
    <xf numFmtId="0" fontId="19" fillId="0" borderId="0" xfId="52" applyFont="1" applyBorder="1" applyAlignment="1">
      <alignment horizontal="center" vertical="center" wrapText="1"/>
    </xf>
    <xf numFmtId="49" fontId="19" fillId="0" borderId="0" xfId="52" applyNumberFormat="1" applyFont="1" applyBorder="1" applyAlignment="1">
      <alignment horizontal="center" vertical="center" wrapText="1"/>
    </xf>
    <xf numFmtId="167" fontId="19" fillId="0" borderId="0" xfId="52" applyNumberFormat="1" applyFont="1" applyBorder="1" applyAlignment="1">
      <alignment horizontal="center" vertical="center"/>
    </xf>
    <xf numFmtId="0" fontId="31" fillId="0" borderId="0" xfId="52" applyFont="1"/>
    <xf numFmtId="4" fontId="27" fillId="0" borderId="0" xfId="52" applyNumberFormat="1" applyFont="1"/>
    <xf numFmtId="0" fontId="27" fillId="0" borderId="0" xfId="52" applyFont="1" applyAlignment="1">
      <alignment horizontal="center"/>
    </xf>
    <xf numFmtId="2" fontId="27" fillId="0" borderId="0" xfId="52" applyNumberFormat="1" applyFont="1"/>
    <xf numFmtId="0" fontId="27" fillId="0" borderId="0" xfId="52" applyFont="1" applyAlignment="1">
      <alignment horizontal="left" indent="2"/>
    </xf>
    <xf numFmtId="3" fontId="27" fillId="0" borderId="0" xfId="52" applyNumberFormat="1" applyFont="1"/>
    <xf numFmtId="0" fontId="31" fillId="0" borderId="0" xfId="52" applyFont="1" applyAlignment="1">
      <alignment horizontal="left" indent="2"/>
    </xf>
    <xf numFmtId="2" fontId="31" fillId="0" borderId="0" xfId="52" applyNumberFormat="1" applyFont="1"/>
    <xf numFmtId="2" fontId="23" fillId="0" borderId="17" xfId="52" applyNumberFormat="1" applyFont="1" applyBorder="1" applyAlignment="1">
      <alignment horizontal="center" vertical="center"/>
    </xf>
    <xf numFmtId="2" fontId="33" fillId="0" borderId="17" xfId="52" applyNumberFormat="1" applyFont="1" applyBorder="1" applyAlignment="1">
      <alignment horizontal="center" vertical="center"/>
    </xf>
    <xf numFmtId="0" fontId="24" fillId="0" borderId="0" xfId="52" applyFont="1"/>
    <xf numFmtId="0" fontId="34" fillId="0" borderId="0" xfId="52" applyFont="1"/>
    <xf numFmtId="0" fontId="34" fillId="0" borderId="0" xfId="52" applyFont="1" applyAlignment="1">
      <alignment horizontal="right"/>
    </xf>
    <xf numFmtId="0" fontId="24" fillId="0" borderId="0" xfId="52" applyFont="1" applyAlignment="1"/>
    <xf numFmtId="0" fontId="25" fillId="0" borderId="0" xfId="52" applyFont="1" applyAlignment="1"/>
    <xf numFmtId="0" fontId="25" fillId="0" borderId="0" xfId="52" applyFont="1" applyBorder="1" applyAlignment="1"/>
    <xf numFmtId="0" fontId="24" fillId="0" borderId="15" xfId="52" applyFont="1" applyBorder="1" applyAlignment="1">
      <alignment horizontal="center" vertical="center" wrapText="1"/>
    </xf>
    <xf numFmtId="0" fontId="24" fillId="0" borderId="17" xfId="52" applyFont="1" applyBorder="1" applyAlignment="1">
      <alignment horizontal="center" vertical="center" wrapText="1"/>
    </xf>
    <xf numFmtId="0" fontId="24" fillId="0" borderId="0" xfId="52" applyFont="1" applyBorder="1"/>
    <xf numFmtId="0" fontId="23" fillId="0" borderId="17" xfId="52" applyFont="1" applyBorder="1" applyAlignment="1">
      <alignment horizontal="center" vertical="center"/>
    </xf>
    <xf numFmtId="0" fontId="23" fillId="0" borderId="17" xfId="52" applyFont="1" applyBorder="1" applyAlignment="1">
      <alignment horizontal="left" vertical="center" wrapText="1"/>
    </xf>
    <xf numFmtId="0" fontId="23" fillId="0" borderId="17" xfId="52" applyFont="1" applyBorder="1" applyAlignment="1">
      <alignment horizontal="center" vertical="center" wrapText="1"/>
    </xf>
    <xf numFmtId="0" fontId="23" fillId="0" borderId="0" xfId="52" applyFont="1"/>
    <xf numFmtId="0" fontId="25" fillId="0" borderId="17" xfId="52" applyFont="1" applyBorder="1" applyAlignment="1">
      <alignment horizontal="center" vertical="center"/>
    </xf>
    <xf numFmtId="0" fontId="24" fillId="0" borderId="17" xfId="52" applyFont="1" applyBorder="1"/>
    <xf numFmtId="4" fontId="25" fillId="0" borderId="17" xfId="52" applyNumberFormat="1" applyFont="1" applyBorder="1" applyAlignment="1">
      <alignment horizontal="center" vertical="center"/>
    </xf>
    <xf numFmtId="0" fontId="24" fillId="0" borderId="0" xfId="52" applyFont="1" applyBorder="1" applyAlignment="1">
      <alignment horizontal="center" vertical="center"/>
    </xf>
    <xf numFmtId="0" fontId="24" fillId="0" borderId="0" xfId="52" applyFont="1" applyBorder="1" applyAlignment="1">
      <alignment horizontal="center" vertical="center" wrapText="1"/>
    </xf>
    <xf numFmtId="49" fontId="24" fillId="0" borderId="0" xfId="52" applyNumberFormat="1" applyFont="1" applyBorder="1" applyAlignment="1">
      <alignment horizontal="center" vertical="center" wrapText="1"/>
    </xf>
    <xf numFmtId="167" fontId="24" fillId="0" borderId="0" xfId="52" applyNumberFormat="1" applyFont="1" applyBorder="1" applyAlignment="1">
      <alignment horizontal="center" vertical="center"/>
    </xf>
    <xf numFmtId="0" fontId="33" fillId="0" borderId="17" xfId="52" applyFont="1" applyBorder="1" applyAlignment="1">
      <alignment horizontal="center" vertical="center"/>
    </xf>
    <xf numFmtId="0" fontId="33" fillId="0" borderId="17" xfId="52" applyFont="1" applyBorder="1"/>
    <xf numFmtId="4" fontId="33" fillId="0" borderId="17" xfId="52" applyNumberFormat="1" applyFont="1" applyBorder="1" applyAlignment="1">
      <alignment horizontal="center" vertical="center"/>
    </xf>
    <xf numFmtId="0" fontId="33" fillId="0" borderId="0" xfId="52" applyFont="1"/>
    <xf numFmtId="2" fontId="24" fillId="0" borderId="0" xfId="52" applyNumberFormat="1" applyFont="1"/>
    <xf numFmtId="0" fontId="22" fillId="0" borderId="17" xfId="52" applyFont="1" applyBorder="1" applyAlignment="1">
      <alignment horizontal="center" vertical="center"/>
    </xf>
    <xf numFmtId="0" fontId="23" fillId="0" borderId="17" xfId="52" applyFont="1" applyBorder="1"/>
    <xf numFmtId="4" fontId="22" fillId="0" borderId="17" xfId="52" applyNumberFormat="1" applyFont="1" applyBorder="1" applyAlignment="1">
      <alignment horizontal="center" vertical="center"/>
    </xf>
    <xf numFmtId="167" fontId="23" fillId="0" borderId="17" xfId="52" applyNumberFormat="1" applyFont="1" applyBorder="1" applyAlignment="1">
      <alignment horizontal="center" vertical="center"/>
    </xf>
    <xf numFmtId="168" fontId="13" fillId="28" borderId="15" xfId="57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6" fillId="0" borderId="0" xfId="0" applyFont="1"/>
    <xf numFmtId="0" fontId="4" fillId="31" borderId="0" xfId="0" applyFont="1" applyFill="1" applyAlignment="1">
      <alignment horizontal="right"/>
    </xf>
    <xf numFmtId="0" fontId="7" fillId="31" borderId="0" xfId="0" applyFont="1" applyFill="1" applyAlignment="1">
      <alignment horizontal="right"/>
    </xf>
    <xf numFmtId="0" fontId="8" fillId="31" borderId="0" xfId="0" applyFont="1" applyFill="1" applyAlignment="1">
      <alignment horizontal="right"/>
    </xf>
    <xf numFmtId="0" fontId="8" fillId="31" borderId="0" xfId="0" applyFont="1" applyFill="1"/>
    <xf numFmtId="0" fontId="4" fillId="31" borderId="0" xfId="0" applyFont="1" applyFill="1"/>
    <xf numFmtId="0" fontId="3" fillId="31" borderId="0" xfId="0" applyFont="1" applyFill="1"/>
    <xf numFmtId="1" fontId="9" fillId="31" borderId="15" xfId="0" applyNumberFormat="1" applyFont="1" applyFill="1" applyBorder="1" applyAlignment="1">
      <alignment horizontal="center" vertical="center"/>
    </xf>
    <xf numFmtId="165" fontId="3" fillId="31" borderId="12" xfId="0" applyNumberFormat="1" applyFont="1" applyFill="1" applyBorder="1" applyAlignment="1">
      <alignment horizontal="center"/>
    </xf>
    <xf numFmtId="2" fontId="3" fillId="32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/>
    </xf>
    <xf numFmtId="0" fontId="3" fillId="0" borderId="38" xfId="0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vertical="top" wrapText="1" indent="3"/>
    </xf>
    <xf numFmtId="0" fontId="3" fillId="0" borderId="23" xfId="5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right" vertical="top"/>
    </xf>
    <xf numFmtId="0" fontId="4" fillId="0" borderId="0" xfId="51" applyFont="1"/>
    <xf numFmtId="0" fontId="4" fillId="0" borderId="0" xfId="51" applyFont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49" fontId="4" fillId="0" borderId="24" xfId="51" applyNumberFormat="1" applyFont="1" applyBorder="1" applyAlignment="1">
      <alignment horizontal="center" vertical="top"/>
    </xf>
    <xf numFmtId="0" fontId="4" fillId="0" borderId="26" xfId="51" applyFont="1" applyBorder="1" applyAlignment="1">
      <alignment horizontal="left" vertical="top" wrapText="1"/>
    </xf>
    <xf numFmtId="0" fontId="4" fillId="0" borderId="23" xfId="51" applyFont="1" applyBorder="1" applyAlignment="1">
      <alignment horizontal="center"/>
    </xf>
    <xf numFmtId="2" fontId="4" fillId="0" borderId="24" xfId="51" applyNumberFormat="1" applyFont="1" applyBorder="1" applyAlignment="1">
      <alignment horizontal="center"/>
    </xf>
    <xf numFmtId="2" fontId="4" fillId="0" borderId="12" xfId="51" applyNumberFormat="1" applyFont="1" applyBorder="1" applyAlignment="1">
      <alignment horizontal="center"/>
    </xf>
    <xf numFmtId="2" fontId="4" fillId="0" borderId="26" xfId="51" applyNumberFormat="1" applyFont="1" applyBorder="1" applyAlignment="1">
      <alignment horizontal="center"/>
    </xf>
    <xf numFmtId="2" fontId="4" fillId="0" borderId="26" xfId="51" applyNumberFormat="1" applyFont="1" applyFill="1" applyBorder="1" applyAlignment="1">
      <alignment horizontal="center"/>
    </xf>
    <xf numFmtId="0" fontId="20" fillId="0" borderId="26" xfId="51" applyFont="1" applyBorder="1" applyAlignment="1">
      <alignment horizontal="left" vertical="top" indent="1"/>
    </xf>
    <xf numFmtId="0" fontId="19" fillId="0" borderId="23" xfId="51" applyFont="1" applyBorder="1" applyAlignment="1">
      <alignment horizontal="center" vertical="center"/>
    </xf>
    <xf numFmtId="0" fontId="37" fillId="0" borderId="26" xfId="51" applyFont="1" applyBorder="1" applyAlignment="1">
      <alignment horizontal="left" vertical="center" indent="3"/>
    </xf>
    <xf numFmtId="0" fontId="20" fillId="0" borderId="26" xfId="51" applyFont="1" applyBorder="1" applyAlignment="1">
      <alignment vertical="top" wrapText="1"/>
    </xf>
    <xf numFmtId="0" fontId="20" fillId="0" borderId="26" xfId="51" applyNumberFormat="1" applyFont="1" applyBorder="1" applyAlignment="1">
      <alignment horizontal="left" vertical="top" wrapText="1" indent="1"/>
    </xf>
    <xf numFmtId="0" fontId="4" fillId="0" borderId="23" xfId="51" applyFont="1" applyBorder="1" applyAlignment="1">
      <alignment wrapText="1"/>
    </xf>
    <xf numFmtId="49" fontId="4" fillId="0" borderId="25" xfId="51" applyNumberFormat="1" applyFont="1" applyBorder="1" applyAlignment="1">
      <alignment horizontal="center" vertical="top"/>
    </xf>
    <xf numFmtId="0" fontId="37" fillId="0" borderId="28" xfId="51" applyFont="1" applyBorder="1" applyAlignment="1">
      <alignment horizontal="left" vertical="center" indent="3"/>
    </xf>
    <xf numFmtId="0" fontId="19" fillId="0" borderId="35" xfId="51" applyFont="1" applyBorder="1" applyAlignment="1">
      <alignment horizontal="center" vertical="center"/>
    </xf>
    <xf numFmtId="2" fontId="4" fillId="0" borderId="25" xfId="51" applyNumberFormat="1" applyFont="1" applyBorder="1" applyAlignment="1">
      <alignment horizontal="center"/>
    </xf>
    <xf numFmtId="2" fontId="4" fillId="0" borderId="27" xfId="51" applyNumberFormat="1" applyFont="1" applyBorder="1" applyAlignment="1">
      <alignment horizontal="center"/>
    </xf>
    <xf numFmtId="2" fontId="4" fillId="0" borderId="28" xfId="51" applyNumberFormat="1" applyFont="1" applyBorder="1" applyAlignment="1">
      <alignment horizontal="center"/>
    </xf>
    <xf numFmtId="2" fontId="4" fillId="0" borderId="28" xfId="51" applyNumberFormat="1" applyFont="1" applyFill="1" applyBorder="1" applyAlignment="1">
      <alignment horizontal="center"/>
    </xf>
    <xf numFmtId="0" fontId="4" fillId="0" borderId="0" xfId="51" applyFont="1" applyFill="1"/>
    <xf numFmtId="0" fontId="19" fillId="0" borderId="0" xfId="53" applyFont="1" applyAlignment="1">
      <alignment horizontal="center" vertical="center" wrapText="1"/>
    </xf>
    <xf numFmtId="0" fontId="19" fillId="0" borderId="17" xfId="53" applyFont="1" applyFill="1" applyBorder="1" applyAlignment="1">
      <alignment horizontal="center" vertical="center" wrapText="1"/>
    </xf>
    <xf numFmtId="0" fontId="19" fillId="0" borderId="17" xfId="53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right" vertical="top" wrapText="1"/>
    </xf>
    <xf numFmtId="49" fontId="3" fillId="0" borderId="26" xfId="0" applyNumberFormat="1" applyFont="1" applyFill="1" applyBorder="1" applyAlignment="1">
      <alignment horizontal="right" vertical="top"/>
    </xf>
    <xf numFmtId="0" fontId="4" fillId="0" borderId="39" xfId="51" applyFont="1" applyBorder="1"/>
    <xf numFmtId="0" fontId="21" fillId="0" borderId="39" xfId="51" applyFont="1" applyBorder="1"/>
    <xf numFmtId="0" fontId="3" fillId="0" borderId="42" xfId="0" applyFont="1" applyFill="1" applyBorder="1" applyAlignment="1">
      <alignment horizontal="left" vertical="top" wrapText="1" indent="3"/>
    </xf>
    <xf numFmtId="49" fontId="3" fillId="0" borderId="43" xfId="0" applyNumberFormat="1" applyFont="1" applyFill="1" applyBorder="1" applyAlignment="1">
      <alignment horizontal="center" vertical="top"/>
    </xf>
    <xf numFmtId="0" fontId="19" fillId="0" borderId="0" xfId="53" applyFont="1"/>
    <xf numFmtId="0" fontId="19" fillId="0" borderId="17" xfId="53" applyFont="1" applyBorder="1"/>
    <xf numFmtId="0" fontId="26" fillId="0" borderId="17" xfId="53" applyFont="1" applyBorder="1"/>
    <xf numFmtId="4" fontId="19" fillId="0" borderId="17" xfId="53" applyNumberFormat="1" applyFont="1" applyFill="1" applyBorder="1" applyAlignment="1">
      <alignment horizontal="center" vertical="center" wrapText="1"/>
    </xf>
    <xf numFmtId="9" fontId="19" fillId="0" borderId="17" xfId="57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41" fillId="0" borderId="0" xfId="0" applyFont="1" applyFill="1"/>
    <xf numFmtId="0" fontId="41" fillId="0" borderId="44" xfId="0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 wrapText="1"/>
    </xf>
    <xf numFmtId="2" fontId="41" fillId="0" borderId="51" xfId="0" applyNumberFormat="1" applyFont="1" applyFill="1" applyBorder="1" applyAlignment="1">
      <alignment horizontal="center" vertical="center" wrapText="1"/>
    </xf>
    <xf numFmtId="0" fontId="41" fillId="0" borderId="52" xfId="51" applyFont="1" applyBorder="1"/>
    <xf numFmtId="0" fontId="41" fillId="0" borderId="0" xfId="51" applyFont="1"/>
    <xf numFmtId="0" fontId="41" fillId="0" borderId="0" xfId="51" applyFont="1" applyBorder="1"/>
    <xf numFmtId="3" fontId="43" fillId="0" borderId="53" xfId="51" applyNumberFormat="1" applyFont="1" applyFill="1" applyBorder="1" applyAlignment="1">
      <alignment horizontal="center"/>
    </xf>
    <xf numFmtId="3" fontId="43" fillId="0" borderId="54" xfId="51" applyNumberFormat="1" applyFont="1" applyFill="1" applyBorder="1" applyAlignment="1">
      <alignment horizontal="center"/>
    </xf>
    <xf numFmtId="3" fontId="43" fillId="0" borderId="55" xfId="51" applyNumberFormat="1" applyFont="1" applyFill="1" applyBorder="1" applyAlignment="1">
      <alignment horizontal="center"/>
    </xf>
    <xf numFmtId="3" fontId="43" fillId="0" borderId="15" xfId="51" applyNumberFormat="1" applyFont="1" applyFill="1" applyBorder="1" applyAlignment="1">
      <alignment horizontal="center"/>
    </xf>
    <xf numFmtId="3" fontId="43" fillId="0" borderId="56" xfId="51" applyNumberFormat="1" applyFont="1" applyFill="1" applyBorder="1" applyAlignment="1">
      <alignment horizontal="center"/>
    </xf>
    <xf numFmtId="3" fontId="43" fillId="0" borderId="0" xfId="51" applyNumberFormat="1" applyFont="1" applyFill="1" applyBorder="1" applyAlignment="1">
      <alignment horizontal="center"/>
    </xf>
    <xf numFmtId="3" fontId="43" fillId="0" borderId="0" xfId="51" applyNumberFormat="1" applyFont="1" applyFill="1" applyAlignment="1">
      <alignment horizontal="center"/>
    </xf>
    <xf numFmtId="49" fontId="41" fillId="0" borderId="48" xfId="51" applyNumberFormat="1" applyFont="1" applyBorder="1" applyAlignment="1">
      <alignment horizontal="center" vertical="top"/>
    </xf>
    <xf numFmtId="0" fontId="41" fillId="0" borderId="49" xfId="51" applyFont="1" applyBorder="1" applyAlignment="1">
      <alignment vertical="top" wrapText="1"/>
    </xf>
    <xf numFmtId="0" fontId="41" fillId="0" borderId="46" xfId="51" applyFont="1" applyBorder="1" applyAlignment="1">
      <alignment horizontal="center"/>
    </xf>
    <xf numFmtId="0" fontId="41" fillId="0" borderId="48" xfId="51" applyFont="1" applyBorder="1"/>
    <xf numFmtId="0" fontId="41" fillId="0" borderId="13" xfId="51" applyFont="1" applyBorder="1"/>
    <xf numFmtId="0" fontId="41" fillId="0" borderId="49" xfId="51" applyFont="1" applyBorder="1"/>
    <xf numFmtId="0" fontId="41" fillId="0" borderId="49" xfId="51" applyFont="1" applyFill="1" applyBorder="1"/>
    <xf numFmtId="0" fontId="41" fillId="0" borderId="57" xfId="51" applyFont="1" applyBorder="1"/>
    <xf numFmtId="4" fontId="3" fillId="0" borderId="0" xfId="0" applyNumberFormat="1" applyFont="1"/>
    <xf numFmtId="0" fontId="40" fillId="0" borderId="0" xfId="49" applyFont="1"/>
    <xf numFmtId="0" fontId="40" fillId="33" borderId="0" xfId="49" applyFont="1" applyFill="1"/>
    <xf numFmtId="0" fontId="40" fillId="0" borderId="0" xfId="49" applyFont="1" applyAlignment="1">
      <alignment horizontal="center"/>
    </xf>
    <xf numFmtId="3" fontId="40" fillId="0" borderId="0" xfId="49" applyNumberFormat="1" applyFont="1" applyAlignment="1">
      <alignment horizontal="center"/>
    </xf>
    <xf numFmtId="0" fontId="40" fillId="0" borderId="17" xfId="49" applyFont="1" applyBorder="1" applyAlignment="1">
      <alignment horizontal="center"/>
    </xf>
    <xf numFmtId="0" fontId="39" fillId="0" borderId="0" xfId="49" applyFont="1" applyAlignment="1">
      <alignment horizontal="centerContinuous"/>
    </xf>
    <xf numFmtId="0" fontId="39" fillId="0" borderId="0" xfId="49" applyFont="1"/>
    <xf numFmtId="0" fontId="40" fillId="0" borderId="0" xfId="49" applyFont="1" applyBorder="1"/>
    <xf numFmtId="0" fontId="40" fillId="0" borderId="17" xfId="49" applyFont="1" applyBorder="1" applyAlignment="1">
      <alignment horizontal="center" vertical="center"/>
    </xf>
    <xf numFmtId="3" fontId="40" fillId="0" borderId="17" xfId="49" applyNumberFormat="1" applyFont="1" applyBorder="1" applyAlignment="1">
      <alignment horizontal="center" vertical="center"/>
    </xf>
    <xf numFmtId="0" fontId="40" fillId="0" borderId="0" xfId="49" applyFont="1" applyBorder="1" applyAlignment="1">
      <alignment horizontal="center" vertical="center"/>
    </xf>
    <xf numFmtId="3" fontId="40" fillId="0" borderId="17" xfId="49" applyNumberFormat="1" applyFont="1" applyFill="1" applyBorder="1" applyAlignment="1">
      <alignment horizontal="center"/>
    </xf>
    <xf numFmtId="0" fontId="40" fillId="0" borderId="0" xfId="49" applyFont="1" applyFill="1"/>
    <xf numFmtId="3" fontId="39" fillId="0" borderId="17" xfId="49" applyNumberFormat="1" applyFont="1" applyFill="1" applyBorder="1" applyAlignment="1">
      <alignment horizontal="center"/>
    </xf>
    <xf numFmtId="0" fontId="39" fillId="0" borderId="0" xfId="49" applyFont="1" applyFill="1"/>
    <xf numFmtId="0" fontId="40" fillId="0" borderId="17" xfId="49" applyFont="1" applyBorder="1"/>
    <xf numFmtId="0" fontId="39" fillId="33" borderId="17" xfId="49" applyFont="1" applyFill="1" applyBorder="1" applyAlignment="1"/>
    <xf numFmtId="0" fontId="67" fillId="0" borderId="17" xfId="49" applyFont="1" applyBorder="1" applyAlignment="1"/>
    <xf numFmtId="0" fontId="40" fillId="0" borderId="17" xfId="49" applyFont="1" applyFill="1" applyBorder="1"/>
    <xf numFmtId="0" fontId="69" fillId="0" borderId="17" xfId="49" applyFont="1" applyBorder="1" applyAlignment="1"/>
    <xf numFmtId="0" fontId="40" fillId="0" borderId="17" xfId="49" applyFont="1" applyFill="1" applyBorder="1" applyAlignment="1">
      <alignment horizontal="center"/>
    </xf>
    <xf numFmtId="0" fontId="40" fillId="0" borderId="17" xfId="49" applyFont="1" applyFill="1" applyBorder="1" applyAlignment="1">
      <alignment horizontal="left"/>
    </xf>
    <xf numFmtId="2" fontId="39" fillId="0" borderId="17" xfId="49" applyNumberFormat="1" applyFont="1" applyFill="1" applyBorder="1" applyAlignment="1">
      <alignment horizontal="center"/>
    </xf>
    <xf numFmtId="2" fontId="40" fillId="0" borderId="17" xfId="49" applyNumberFormat="1" applyFont="1" applyFill="1" applyBorder="1" applyAlignment="1">
      <alignment horizontal="center"/>
    </xf>
    <xf numFmtId="0" fontId="40" fillId="0" borderId="17" xfId="49" applyFont="1" applyFill="1" applyBorder="1" applyAlignment="1">
      <alignment horizontal="center" vertical="center"/>
    </xf>
    <xf numFmtId="3" fontId="67" fillId="0" borderId="17" xfId="49" applyNumberFormat="1" applyFont="1" applyFill="1" applyBorder="1" applyAlignment="1">
      <alignment horizontal="center"/>
    </xf>
    <xf numFmtId="3" fontId="68" fillId="0" borderId="17" xfId="49" applyNumberFormat="1" applyFont="1" applyFill="1" applyBorder="1" applyAlignment="1">
      <alignment horizontal="center"/>
    </xf>
    <xf numFmtId="0" fontId="39" fillId="0" borderId="17" xfId="49" applyFont="1" applyBorder="1" applyAlignment="1">
      <alignment horizontal="center"/>
    </xf>
    <xf numFmtId="165" fontId="3" fillId="36" borderId="12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/>
    </xf>
    <xf numFmtId="0" fontId="3" fillId="37" borderId="12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165" fontId="3" fillId="37" borderId="12" xfId="0" applyNumberFormat="1" applyFont="1" applyFill="1" applyBorder="1" applyAlignment="1">
      <alignment horizontal="center"/>
    </xf>
    <xf numFmtId="0" fontId="6" fillId="37" borderId="12" xfId="0" applyFont="1" applyFill="1" applyBorder="1"/>
    <xf numFmtId="2" fontId="6" fillId="37" borderId="12" xfId="0" applyNumberFormat="1" applyFont="1" applyFill="1" applyBorder="1"/>
    <xf numFmtId="166" fontId="3" fillId="37" borderId="12" xfId="0" applyNumberFormat="1" applyFont="1" applyFill="1" applyBorder="1"/>
    <xf numFmtId="2" fontId="3" fillId="37" borderId="0" xfId="0" applyNumberFormat="1" applyFont="1" applyFill="1"/>
    <xf numFmtId="0" fontId="3" fillId="37" borderId="0" xfId="0" applyFont="1" applyFill="1"/>
    <xf numFmtId="0" fontId="12" fillId="0" borderId="0" xfId="0" applyFont="1" applyAlignment="1">
      <alignment horizontal="center"/>
    </xf>
    <xf numFmtId="167" fontId="3" fillId="0" borderId="0" xfId="0" applyNumberFormat="1" applyFont="1"/>
    <xf numFmtId="165" fontId="3" fillId="36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38" borderId="12" xfId="0" applyNumberFormat="1" applyFont="1" applyFill="1" applyBorder="1" applyAlignment="1">
      <alignment horizontal="center" vertical="top"/>
    </xf>
    <xf numFmtId="0" fontId="3" fillId="38" borderId="12" xfId="0" applyFont="1" applyFill="1" applyBorder="1" applyAlignment="1">
      <alignment vertical="top"/>
    </xf>
    <xf numFmtId="0" fontId="3" fillId="38" borderId="12" xfId="0" applyFont="1" applyFill="1" applyBorder="1" applyAlignment="1">
      <alignment horizontal="center"/>
    </xf>
    <xf numFmtId="49" fontId="3" fillId="38" borderId="12" xfId="0" applyNumberFormat="1" applyFont="1" applyFill="1" applyBorder="1" applyAlignment="1">
      <alignment horizontal="center"/>
    </xf>
    <xf numFmtId="165" fontId="3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/>
    <xf numFmtId="2" fontId="6" fillId="38" borderId="12" xfId="0" applyNumberFormat="1" applyFont="1" applyFill="1" applyBorder="1"/>
    <xf numFmtId="166" fontId="3" fillId="38" borderId="12" xfId="0" applyNumberFormat="1" applyFont="1" applyFill="1" applyBorder="1"/>
    <xf numFmtId="2" fontId="3" fillId="38" borderId="0" xfId="0" applyNumberFormat="1" applyFont="1" applyFill="1"/>
    <xf numFmtId="0" fontId="3" fillId="38" borderId="0" xfId="0" applyFont="1" applyFill="1"/>
    <xf numFmtId="0" fontId="3" fillId="38" borderId="12" xfId="0" applyFont="1" applyFill="1" applyBorder="1" applyAlignment="1">
      <alignment vertical="top" wrapText="1"/>
    </xf>
    <xf numFmtId="49" fontId="3" fillId="39" borderId="13" xfId="0" applyNumberFormat="1" applyFont="1" applyFill="1" applyBorder="1" applyAlignment="1">
      <alignment horizontal="center" vertical="top"/>
    </xf>
    <xf numFmtId="0" fontId="3" fillId="39" borderId="13" xfId="0" applyFont="1" applyFill="1" applyBorder="1" applyAlignment="1">
      <alignment vertical="top"/>
    </xf>
    <xf numFmtId="0" fontId="3" fillId="39" borderId="13" xfId="0" applyFont="1" applyFill="1" applyBorder="1" applyAlignment="1">
      <alignment horizontal="center"/>
    </xf>
    <xf numFmtId="49" fontId="3" fillId="39" borderId="13" xfId="0" applyNumberFormat="1" applyFont="1" applyFill="1" applyBorder="1" applyAlignment="1">
      <alignment horizontal="center"/>
    </xf>
    <xf numFmtId="165" fontId="3" fillId="39" borderId="13" xfId="0" applyNumberFormat="1" applyFont="1" applyFill="1" applyBorder="1" applyAlignment="1">
      <alignment horizontal="center"/>
    </xf>
    <xf numFmtId="0" fontId="6" fillId="39" borderId="13" xfId="0" applyFont="1" applyFill="1" applyBorder="1"/>
    <xf numFmtId="2" fontId="6" fillId="39" borderId="13" xfId="0" applyNumberFormat="1" applyFont="1" applyFill="1" applyBorder="1"/>
    <xf numFmtId="166" fontId="3" fillId="39" borderId="13" xfId="0" applyNumberFormat="1" applyFont="1" applyFill="1" applyBorder="1"/>
    <xf numFmtId="2" fontId="3" fillId="39" borderId="0" xfId="0" applyNumberFormat="1" applyFont="1" applyFill="1"/>
    <xf numFmtId="0" fontId="3" fillId="39" borderId="0" xfId="0" applyFont="1" applyFill="1"/>
    <xf numFmtId="49" fontId="3" fillId="39" borderId="12" xfId="0" applyNumberFormat="1" applyFont="1" applyFill="1" applyBorder="1" applyAlignment="1">
      <alignment horizontal="center" vertical="top"/>
    </xf>
    <xf numFmtId="0" fontId="3" fillId="39" borderId="12" xfId="0" applyFont="1" applyFill="1" applyBorder="1" applyAlignment="1">
      <alignment vertical="top"/>
    </xf>
    <xf numFmtId="0" fontId="3" fillId="39" borderId="12" xfId="0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165" fontId="3" fillId="39" borderId="12" xfId="0" applyNumberFormat="1" applyFont="1" applyFill="1" applyBorder="1" applyAlignment="1">
      <alignment horizontal="center"/>
    </xf>
    <xf numFmtId="3" fontId="5" fillId="39" borderId="12" xfId="0" applyNumberFormat="1" applyFont="1" applyFill="1" applyBorder="1"/>
    <xf numFmtId="2" fontId="6" fillId="39" borderId="12" xfId="0" applyNumberFormat="1" applyFont="1" applyFill="1" applyBorder="1"/>
    <xf numFmtId="166" fontId="3" fillId="39" borderId="12" xfId="0" applyNumberFormat="1" applyFont="1" applyFill="1" applyBorder="1"/>
    <xf numFmtId="49" fontId="16" fillId="0" borderId="0" xfId="44" applyNumberFormat="1"/>
    <xf numFmtId="0" fontId="16" fillId="0" borderId="0" xfId="44"/>
    <xf numFmtId="0" fontId="16" fillId="0" borderId="0" xfId="44" applyFill="1"/>
    <xf numFmtId="0" fontId="16" fillId="0" borderId="0" xfId="44" applyAlignment="1">
      <alignment horizontal="centerContinuous"/>
    </xf>
    <xf numFmtId="49" fontId="16" fillId="0" borderId="0" xfId="44" applyNumberFormat="1" applyAlignment="1">
      <alignment horizontal="centerContinuous"/>
    </xf>
    <xf numFmtId="0" fontId="16" fillId="0" borderId="0" xfId="44" applyFill="1" applyAlignment="1">
      <alignment horizontal="centerContinuous"/>
    </xf>
    <xf numFmtId="0" fontId="72" fillId="0" borderId="0" xfId="44" applyFont="1" applyAlignment="1">
      <alignment horizontal="centerContinuous"/>
    </xf>
    <xf numFmtId="0" fontId="16" fillId="0" borderId="58" xfId="44" applyBorder="1" applyAlignment="1">
      <alignment horizontal="centerContinuous"/>
    </xf>
    <xf numFmtId="49" fontId="16" fillId="0" borderId="0" xfId="44" applyNumberFormat="1" applyBorder="1"/>
    <xf numFmtId="0" fontId="16" fillId="0" borderId="0" xfId="44" applyBorder="1"/>
    <xf numFmtId="0" fontId="16" fillId="0" borderId="0" xfId="44" applyFill="1" applyBorder="1"/>
    <xf numFmtId="49" fontId="16" fillId="0" borderId="54" xfId="44" applyNumberFormat="1" applyBorder="1" applyAlignment="1">
      <alignment horizontal="centerContinuous"/>
    </xf>
    <xf numFmtId="0" fontId="16" fillId="0" borderId="16" xfId="44" applyBorder="1" applyAlignment="1">
      <alignment horizontal="centerContinuous"/>
    </xf>
    <xf numFmtId="0" fontId="16" fillId="0" borderId="16" xfId="44" applyBorder="1" applyAlignment="1">
      <alignment horizontal="center"/>
    </xf>
    <xf numFmtId="49" fontId="16" fillId="0" borderId="16" xfId="44" applyNumberFormat="1" applyBorder="1" applyAlignment="1">
      <alignment horizontal="center"/>
    </xf>
    <xf numFmtId="2" fontId="16" fillId="0" borderId="59" xfId="44" applyNumberFormat="1" applyBorder="1" applyAlignment="1">
      <alignment horizontal="center"/>
    </xf>
    <xf numFmtId="0" fontId="16" fillId="0" borderId="15" xfId="44" applyBorder="1" applyAlignment="1">
      <alignment horizontal="center"/>
    </xf>
    <xf numFmtId="2" fontId="16" fillId="0" borderId="15" xfId="44" applyNumberFormat="1" applyBorder="1" applyAlignment="1">
      <alignment horizontal="center"/>
    </xf>
    <xf numFmtId="2" fontId="16" fillId="0" borderId="54" xfId="44" applyNumberFormat="1" applyBorder="1" applyAlignment="1">
      <alignment horizontal="centerContinuous"/>
    </xf>
    <xf numFmtId="2" fontId="16" fillId="0" borderId="16" xfId="44" applyNumberFormat="1" applyBorder="1" applyAlignment="1">
      <alignment horizontal="centerContinuous"/>
    </xf>
    <xf numFmtId="49" fontId="16" fillId="0" borderId="60" xfId="44" applyNumberFormat="1" applyBorder="1" applyAlignment="1">
      <alignment horizontal="centerContinuous"/>
    </xf>
    <xf numFmtId="0" fontId="16" fillId="0" borderId="58" xfId="44" applyBorder="1" applyAlignment="1">
      <alignment horizontal="center"/>
    </xf>
    <xf numFmtId="49" fontId="16" fillId="0" borderId="58" xfId="44" applyNumberFormat="1" applyBorder="1" applyAlignment="1">
      <alignment horizontal="center"/>
    </xf>
    <xf numFmtId="2" fontId="16" fillId="0" borderId="0" xfId="44" applyNumberFormat="1" applyAlignment="1">
      <alignment horizontal="center"/>
    </xf>
    <xf numFmtId="0" fontId="16" fillId="0" borderId="11" xfId="44" applyBorder="1" applyAlignment="1">
      <alignment horizontal="center"/>
    </xf>
    <xf numFmtId="2" fontId="16" fillId="0" borderId="11" xfId="44" applyNumberFormat="1" applyBorder="1" applyAlignment="1">
      <alignment horizontal="center"/>
    </xf>
    <xf numFmtId="2" fontId="16" fillId="0" borderId="16" xfId="44" applyNumberFormat="1" applyBorder="1" applyAlignment="1">
      <alignment horizontal="center"/>
    </xf>
    <xf numFmtId="2" fontId="16" fillId="0" borderId="58" xfId="44" applyNumberFormat="1" applyBorder="1" applyAlignment="1">
      <alignment horizontal="center"/>
    </xf>
    <xf numFmtId="49" fontId="16" fillId="0" borderId="61" xfId="44" applyNumberFormat="1" applyBorder="1" applyAlignment="1">
      <alignment horizontal="centerContinuous"/>
    </xf>
    <xf numFmtId="0" fontId="16" fillId="0" borderId="62" xfId="44" applyBorder="1" applyAlignment="1">
      <alignment horizontal="centerContinuous"/>
    </xf>
    <xf numFmtId="0" fontId="16" fillId="0" borderId="62" xfId="44" applyBorder="1"/>
    <xf numFmtId="49" fontId="16" fillId="0" borderId="62" xfId="44" applyNumberFormat="1" applyBorder="1" applyAlignment="1">
      <alignment horizontal="center"/>
    </xf>
    <xf numFmtId="2" fontId="16" fillId="0" borderId="63" xfId="44" applyNumberFormat="1" applyBorder="1"/>
    <xf numFmtId="0" fontId="16" fillId="0" borderId="50" xfId="44" applyBorder="1" applyAlignment="1">
      <alignment horizontal="center"/>
    </xf>
    <xf numFmtId="2" fontId="16" fillId="0" borderId="63" xfId="44" applyNumberFormat="1" applyBorder="1" applyAlignment="1">
      <alignment horizontal="center"/>
    </xf>
    <xf numFmtId="2" fontId="16" fillId="0" borderId="50" xfId="44" applyNumberFormat="1" applyBorder="1"/>
    <xf numFmtId="2" fontId="16" fillId="0" borderId="50" xfId="44" applyNumberFormat="1" applyBorder="1" applyAlignment="1">
      <alignment horizontal="center"/>
    </xf>
    <xf numFmtId="2" fontId="16" fillId="0" borderId="62" xfId="44" applyNumberFormat="1" applyBorder="1" applyAlignment="1">
      <alignment horizontal="center"/>
    </xf>
    <xf numFmtId="49" fontId="16" fillId="0" borderId="60" xfId="44" applyNumberFormat="1" applyBorder="1" applyAlignment="1">
      <alignment horizontal="right"/>
    </xf>
    <xf numFmtId="0" fontId="16" fillId="0" borderId="58" xfId="44" applyBorder="1"/>
    <xf numFmtId="165" fontId="16" fillId="26" borderId="11" xfId="44" applyNumberFormat="1" applyFill="1" applyBorder="1" applyAlignment="1">
      <alignment horizontal="center"/>
    </xf>
    <xf numFmtId="165" fontId="16" fillId="26" borderId="58" xfId="44" applyNumberFormat="1" applyFill="1" applyBorder="1" applyAlignment="1">
      <alignment horizontal="center"/>
    </xf>
    <xf numFmtId="165" fontId="16" fillId="0" borderId="11" xfId="44" applyNumberFormat="1" applyBorder="1" applyAlignment="1">
      <alignment horizontal="center"/>
    </xf>
    <xf numFmtId="165" fontId="16" fillId="0" borderId="0" xfId="44" applyNumberFormat="1" applyAlignment="1">
      <alignment horizontal="center"/>
    </xf>
    <xf numFmtId="0" fontId="73" fillId="0" borderId="11" xfId="44" applyFont="1" applyBorder="1" applyAlignment="1">
      <alignment horizontal="center"/>
    </xf>
    <xf numFmtId="165" fontId="16" fillId="0" borderId="58" xfId="44" applyNumberFormat="1" applyBorder="1" applyAlignment="1">
      <alignment horizontal="center"/>
    </xf>
    <xf numFmtId="49" fontId="74" fillId="0" borderId="60" xfId="44" applyNumberFormat="1" applyFont="1" applyBorder="1" applyAlignment="1">
      <alignment horizontal="right"/>
    </xf>
    <xf numFmtId="0" fontId="75" fillId="0" borderId="58" xfId="44" applyFont="1" applyBorder="1"/>
    <xf numFmtId="49" fontId="16" fillId="0" borderId="58" xfId="44" applyNumberFormat="1" applyBorder="1" applyAlignment="1">
      <alignment horizontal="left"/>
    </xf>
    <xf numFmtId="11" fontId="16" fillId="0" borderId="58" xfId="44" applyNumberFormat="1" applyBorder="1" applyAlignment="1">
      <alignment horizontal="left"/>
    </xf>
    <xf numFmtId="0" fontId="16" fillId="0" borderId="58" xfId="44" applyBorder="1" applyAlignment="1">
      <alignment horizontal="left"/>
    </xf>
    <xf numFmtId="165" fontId="16" fillId="0" borderId="0" xfId="44" applyNumberFormat="1" applyBorder="1" applyAlignment="1">
      <alignment horizontal="center"/>
    </xf>
    <xf numFmtId="0" fontId="16" fillId="0" borderId="0" xfId="44" applyBorder="1" applyAlignment="1">
      <alignment horizontal="left"/>
    </xf>
    <xf numFmtId="0" fontId="16" fillId="0" borderId="60" xfId="44" applyBorder="1" applyAlignment="1">
      <alignment horizontal="center"/>
    </xf>
    <xf numFmtId="49" fontId="16" fillId="0" borderId="11" xfId="44" applyNumberFormat="1" applyBorder="1" applyAlignment="1">
      <alignment horizontal="center"/>
    </xf>
    <xf numFmtId="165" fontId="16" fillId="26" borderId="0" xfId="44" applyNumberFormat="1" applyFill="1" applyBorder="1" applyAlignment="1">
      <alignment horizontal="center"/>
    </xf>
    <xf numFmtId="0" fontId="75" fillId="0" borderId="58" xfId="44" applyFont="1" applyBorder="1" applyAlignment="1">
      <alignment horizontal="left"/>
    </xf>
    <xf numFmtId="0" fontId="75" fillId="0" borderId="0" xfId="44" applyFont="1" applyBorder="1" applyAlignment="1">
      <alignment horizontal="left"/>
    </xf>
    <xf numFmtId="49" fontId="16" fillId="0" borderId="60" xfId="44" applyNumberFormat="1" applyBorder="1" applyAlignment="1">
      <alignment horizontal="center"/>
    </xf>
    <xf numFmtId="49" fontId="16" fillId="0" borderId="60" xfId="44" applyNumberFormat="1" applyFill="1" applyBorder="1" applyAlignment="1">
      <alignment horizontal="right"/>
    </xf>
    <xf numFmtId="0" fontId="16" fillId="0" borderId="60" xfId="44" applyBorder="1"/>
    <xf numFmtId="0" fontId="16" fillId="0" borderId="0" xfId="44" applyBorder="1" applyAlignment="1">
      <alignment horizontal="center"/>
    </xf>
    <xf numFmtId="49" fontId="16" fillId="0" borderId="0" xfId="44" applyNumberFormat="1" applyBorder="1" applyAlignment="1">
      <alignment horizontal="center"/>
    </xf>
    <xf numFmtId="2" fontId="16" fillId="0" borderId="0" xfId="44" applyNumberFormat="1" applyBorder="1" applyAlignment="1">
      <alignment horizontal="center"/>
    </xf>
    <xf numFmtId="0" fontId="16" fillId="0" borderId="0" xfId="44" applyFill="1" applyBorder="1" applyAlignment="1">
      <alignment horizontal="center"/>
    </xf>
    <xf numFmtId="2" fontId="16" fillId="0" borderId="0" xfId="44" applyNumberFormat="1" applyFill="1" applyBorder="1" applyAlignment="1">
      <alignment horizontal="center"/>
    </xf>
    <xf numFmtId="0" fontId="16" fillId="0" borderId="61" xfId="44" applyBorder="1"/>
    <xf numFmtId="0" fontId="16" fillId="0" borderId="63" xfId="44" applyBorder="1"/>
    <xf numFmtId="0" fontId="16" fillId="0" borderId="63" xfId="44" applyFill="1" applyBorder="1"/>
    <xf numFmtId="0" fontId="16" fillId="0" borderId="0" xfId="44" applyAlignment="1">
      <alignment horizontal="left"/>
    </xf>
    <xf numFmtId="0" fontId="16" fillId="0" borderId="0" xfId="44" applyBorder="1" applyAlignment="1">
      <alignment horizontal="centerContinuous"/>
    </xf>
    <xf numFmtId="49" fontId="16" fillId="0" borderId="0" xfId="44" applyNumberFormat="1" applyBorder="1" applyAlignment="1"/>
    <xf numFmtId="165" fontId="16" fillId="0" borderId="58" xfId="44" applyNumberFormat="1" applyBorder="1"/>
    <xf numFmtId="49" fontId="16" fillId="0" borderId="0" xfId="44" applyNumberFormat="1" applyAlignment="1">
      <alignment horizontal="center"/>
    </xf>
    <xf numFmtId="0" fontId="16" fillId="0" borderId="0" xfId="44" applyAlignment="1"/>
    <xf numFmtId="0" fontId="72" fillId="0" borderId="0" xfId="44" applyFont="1" applyAlignment="1"/>
    <xf numFmtId="0" fontId="75" fillId="0" borderId="0" xfId="44" applyFont="1"/>
    <xf numFmtId="0" fontId="16" fillId="0" borderId="0" xfId="44" applyFont="1"/>
    <xf numFmtId="0" fontId="78" fillId="0" borderId="0" xfId="44" applyFont="1" applyAlignment="1">
      <alignment horizontal="centerContinuous"/>
    </xf>
    <xf numFmtId="0" fontId="79" fillId="0" borderId="0" xfId="44" applyFont="1"/>
    <xf numFmtId="49" fontId="16" fillId="0" borderId="0" xfId="44" applyNumberFormat="1" applyAlignment="1">
      <alignment horizontal="left"/>
    </xf>
    <xf numFmtId="0" fontId="73" fillId="0" borderId="0" xfId="44" applyFont="1"/>
    <xf numFmtId="49" fontId="16" fillId="0" borderId="61" xfId="44" applyNumberFormat="1" applyBorder="1" applyAlignment="1">
      <alignment horizontal="right"/>
    </xf>
    <xf numFmtId="0" fontId="16" fillId="0" borderId="63" xfId="44" applyBorder="1" applyAlignment="1">
      <alignment horizontal="center"/>
    </xf>
    <xf numFmtId="49" fontId="16" fillId="0" borderId="63" xfId="44" applyNumberFormat="1" applyBorder="1" applyAlignment="1">
      <alignment horizontal="center"/>
    </xf>
    <xf numFmtId="165" fontId="16" fillId="26" borderId="63" xfId="44" applyNumberFormat="1" applyFill="1" applyBorder="1" applyAlignment="1">
      <alignment horizontal="center"/>
    </xf>
    <xf numFmtId="165" fontId="16" fillId="0" borderId="63" xfId="44" applyNumberFormat="1" applyBorder="1"/>
    <xf numFmtId="165" fontId="16" fillId="0" borderId="62" xfId="44" applyNumberFormat="1" applyBorder="1"/>
    <xf numFmtId="0" fontId="16" fillId="26" borderId="11" xfId="44" applyFill="1" applyBorder="1"/>
    <xf numFmtId="49" fontId="16" fillId="34" borderId="60" xfId="44" applyNumberFormat="1" applyFill="1" applyBorder="1" applyAlignment="1">
      <alignment horizontal="right"/>
    </xf>
    <xf numFmtId="0" fontId="16" fillId="26" borderId="11" xfId="44" applyFill="1" applyBorder="1" applyAlignment="1">
      <alignment horizontal="center"/>
    </xf>
    <xf numFmtId="2" fontId="16" fillId="26" borderId="11" xfId="44" applyNumberFormat="1" applyFill="1" applyBorder="1" applyAlignment="1">
      <alignment horizontal="center"/>
    </xf>
    <xf numFmtId="2" fontId="16" fillId="26" borderId="0" xfId="44" applyNumberFormat="1" applyFill="1" applyBorder="1" applyAlignment="1">
      <alignment horizontal="center"/>
    </xf>
    <xf numFmtId="0" fontId="16" fillId="0" borderId="11" xfId="44" applyBorder="1" applyAlignment="1">
      <alignment horizontal="centerContinuous"/>
    </xf>
    <xf numFmtId="0" fontId="16" fillId="0" borderId="11" xfId="44" applyBorder="1"/>
    <xf numFmtId="2" fontId="16" fillId="26" borderId="0" xfId="44" applyNumberFormat="1" applyFill="1" applyAlignment="1">
      <alignment horizontal="center"/>
    </xf>
    <xf numFmtId="1" fontId="16" fillId="0" borderId="11" xfId="44" applyNumberFormat="1" applyBorder="1" applyAlignment="1">
      <alignment horizontal="center"/>
    </xf>
    <xf numFmtId="1" fontId="16" fillId="0" borderId="0" xfId="44" applyNumberFormat="1" applyBorder="1" applyAlignment="1">
      <alignment horizontal="center"/>
    </xf>
    <xf numFmtId="0" fontId="16" fillId="0" borderId="11" xfId="44" applyFill="1" applyBorder="1" applyAlignment="1">
      <alignment horizontal="center"/>
    </xf>
    <xf numFmtId="0" fontId="74" fillId="0" borderId="0" xfId="44" applyFont="1" applyBorder="1"/>
    <xf numFmtId="0" fontId="74" fillId="0" borderId="0" xfId="44" applyFont="1"/>
    <xf numFmtId="49" fontId="16" fillId="0" borderId="0" xfId="44" applyNumberFormat="1" applyAlignment="1"/>
    <xf numFmtId="49" fontId="74" fillId="0" borderId="0" xfId="44" applyNumberFormat="1" applyFont="1" applyBorder="1" applyAlignment="1">
      <alignment horizontal="center"/>
    </xf>
    <xf numFmtId="0" fontId="16" fillId="0" borderId="0" xfId="44" applyBorder="1" applyAlignment="1"/>
    <xf numFmtId="2" fontId="16" fillId="26" borderId="63" xfId="44" applyNumberFormat="1" applyFill="1" applyBorder="1" applyAlignment="1">
      <alignment horizontal="center"/>
    </xf>
    <xf numFmtId="1" fontId="16" fillId="0" borderId="0" xfId="44" applyNumberFormat="1" applyBorder="1" applyAlignment="1">
      <alignment horizontal="centerContinuous"/>
    </xf>
    <xf numFmtId="0" fontId="16" fillId="0" borderId="59" xfId="44" applyBorder="1" applyAlignment="1">
      <alignment horizontal="center"/>
    </xf>
    <xf numFmtId="0" fontId="16" fillId="0" borderId="0" xfId="44" applyFill="1" applyAlignment="1">
      <alignment horizontal="center"/>
    </xf>
    <xf numFmtId="0" fontId="16" fillId="0" borderId="0" xfId="44" applyAlignment="1">
      <alignment horizontal="center"/>
    </xf>
    <xf numFmtId="0" fontId="16" fillId="26" borderId="0" xfId="44" applyFill="1" applyAlignment="1">
      <alignment horizontal="centerContinuous"/>
    </xf>
    <xf numFmtId="0" fontId="16" fillId="26" borderId="0" xfId="44" applyFill="1"/>
    <xf numFmtId="49" fontId="74" fillId="34" borderId="60" xfId="44" applyNumberFormat="1" applyFont="1" applyFill="1" applyBorder="1" applyAlignment="1">
      <alignment horizontal="right"/>
    </xf>
    <xf numFmtId="49" fontId="80" fillId="0" borderId="60" xfId="44" applyNumberFormat="1" applyFont="1" applyBorder="1" applyAlignment="1">
      <alignment horizontal="right"/>
    </xf>
    <xf numFmtId="2" fontId="16" fillId="26" borderId="58" xfId="44" applyNumberFormat="1" applyFill="1" applyBorder="1" applyAlignment="1">
      <alignment horizontal="center"/>
    </xf>
    <xf numFmtId="0" fontId="16" fillId="26" borderId="58" xfId="44" applyFill="1" applyBorder="1" applyAlignment="1">
      <alignment horizontal="centerContinuous"/>
    </xf>
    <xf numFmtId="0" fontId="16" fillId="26" borderId="58" xfId="44" applyFill="1" applyBorder="1"/>
    <xf numFmtId="0" fontId="16" fillId="0" borderId="63" xfId="44" applyFill="1" applyBorder="1" applyAlignment="1">
      <alignment horizontal="center"/>
    </xf>
    <xf numFmtId="2" fontId="16" fillId="0" borderId="63" xfId="44" applyNumberFormat="1" applyFill="1" applyBorder="1" applyAlignment="1">
      <alignment horizontal="center"/>
    </xf>
    <xf numFmtId="49" fontId="16" fillId="0" borderId="0" xfId="44" applyNumberFormat="1" applyBorder="1" applyAlignment="1">
      <alignment horizontal="right"/>
    </xf>
    <xf numFmtId="49" fontId="16" fillId="0" borderId="0" xfId="44" applyNumberFormat="1" applyBorder="1" applyAlignment="1">
      <alignment horizontal="centerContinuous"/>
    </xf>
    <xf numFmtId="0" fontId="16" fillId="0" borderId="0" xfId="44" applyFill="1" applyBorder="1" applyAlignment="1">
      <alignment horizontal="centerContinuous"/>
    </xf>
    <xf numFmtId="2" fontId="16" fillId="0" borderId="0" xfId="44" applyNumberFormat="1" applyFill="1" applyBorder="1" applyAlignment="1">
      <alignment horizontal="centerContinuous"/>
    </xf>
    <xf numFmtId="0" fontId="16" fillId="0" borderId="63" xfId="44" applyBorder="1" applyAlignment="1"/>
    <xf numFmtId="1" fontId="16" fillId="0" borderId="0" xfId="44" applyNumberFormat="1" applyAlignment="1">
      <alignment horizontal="center"/>
    </xf>
    <xf numFmtId="49" fontId="16" fillId="0" borderId="60" xfId="44" applyNumberFormat="1" applyFont="1" applyBorder="1" applyAlignment="1">
      <alignment horizontal="centerContinuous"/>
    </xf>
    <xf numFmtId="49" fontId="16" fillId="0" borderId="0" xfId="44" applyNumberFormat="1" applyFont="1" applyBorder="1" applyAlignment="1">
      <alignment horizontal="left"/>
    </xf>
    <xf numFmtId="49" fontId="75" fillId="0" borderId="0" xfId="44" applyNumberFormat="1" applyFont="1" applyAlignment="1">
      <alignment horizontal="center"/>
    </xf>
    <xf numFmtId="0" fontId="16" fillId="34" borderId="60" xfId="44" applyFill="1" applyBorder="1" applyAlignment="1">
      <alignment horizontal="right"/>
    </xf>
    <xf numFmtId="0" fontId="16" fillId="0" borderId="60" xfId="44" applyBorder="1" applyAlignment="1">
      <alignment horizontal="right"/>
    </xf>
    <xf numFmtId="49" fontId="82" fillId="0" borderId="0" xfId="44" applyNumberFormat="1" applyFont="1" applyAlignment="1">
      <alignment horizontal="center"/>
    </xf>
    <xf numFmtId="2" fontId="16" fillId="26" borderId="0" xfId="44" applyNumberFormat="1" applyFill="1" applyAlignment="1">
      <alignment horizontal="centerContinuous"/>
    </xf>
    <xf numFmtId="0" fontId="73" fillId="0" borderId="0" xfId="44" applyFont="1" applyAlignment="1"/>
    <xf numFmtId="0" fontId="16" fillId="0" borderId="11" xfId="44" applyBorder="1" applyAlignment="1"/>
    <xf numFmtId="0" fontId="16" fillId="26" borderId="11" xfId="44" applyFill="1" applyBorder="1" applyAlignment="1"/>
    <xf numFmtId="2" fontId="16" fillId="26" borderId="0" xfId="44" applyNumberFormat="1" applyFill="1" applyAlignment="1"/>
    <xf numFmtId="1" fontId="16" fillId="0" borderId="11" xfId="44" applyNumberFormat="1" applyBorder="1" applyAlignment="1"/>
    <xf numFmtId="1" fontId="16" fillId="0" borderId="0" xfId="44" applyNumberFormat="1" applyBorder="1" applyAlignment="1"/>
    <xf numFmtId="0" fontId="16" fillId="0" borderId="58" xfId="44" applyBorder="1" applyAlignment="1"/>
    <xf numFmtId="49" fontId="16" fillId="0" borderId="60" xfId="44" applyNumberFormat="1" applyBorder="1" applyAlignment="1"/>
    <xf numFmtId="49" fontId="16" fillId="0" borderId="58" xfId="44" applyNumberFormat="1" applyBorder="1" applyAlignment="1"/>
    <xf numFmtId="1" fontId="16" fillId="0" borderId="0" xfId="44" applyNumberFormat="1" applyAlignment="1"/>
    <xf numFmtId="14" fontId="16" fillId="0" borderId="60" xfId="44" applyNumberFormat="1" applyBorder="1" applyAlignment="1">
      <alignment horizontal="right"/>
    </xf>
    <xf numFmtId="49" fontId="16" fillId="26" borderId="11" xfId="44" applyNumberFormat="1" applyFill="1" applyBorder="1" applyAlignment="1">
      <alignment horizontal="center"/>
    </xf>
    <xf numFmtId="2" fontId="74" fillId="26" borderId="0" xfId="44" applyNumberFormat="1" applyFont="1" applyFill="1" applyAlignment="1">
      <alignment horizontal="center"/>
    </xf>
    <xf numFmtId="0" fontId="16" fillId="26" borderId="60" xfId="44" applyFill="1" applyBorder="1" applyAlignment="1">
      <alignment horizontal="center"/>
    </xf>
    <xf numFmtId="2" fontId="16" fillId="0" borderId="11" xfId="44" applyNumberFormat="1" applyBorder="1"/>
    <xf numFmtId="2" fontId="16" fillId="26" borderId="60" xfId="44" applyNumberFormat="1" applyFill="1" applyBorder="1" applyAlignment="1">
      <alignment horizontal="center"/>
    </xf>
    <xf numFmtId="2" fontId="16" fillId="0" borderId="11" xfId="44" applyNumberFormat="1" applyFill="1" applyBorder="1" applyAlignment="1">
      <alignment horizontal="center"/>
    </xf>
    <xf numFmtId="0" fontId="74" fillId="0" borderId="0" xfId="44" applyFont="1" applyBorder="1" applyAlignment="1">
      <alignment horizontal="center"/>
    </xf>
    <xf numFmtId="0" fontId="80" fillId="0" borderId="0" xfId="44" applyFont="1" applyFill="1" applyBorder="1" applyAlignment="1">
      <alignment horizontal="center"/>
    </xf>
    <xf numFmtId="2" fontId="16" fillId="0" borderId="62" xfId="44" applyNumberFormat="1" applyBorder="1"/>
    <xf numFmtId="49" fontId="16" fillId="0" borderId="61" xfId="44" applyNumberFormat="1" applyFill="1" applyBorder="1" applyAlignment="1">
      <alignment horizontal="right"/>
    </xf>
    <xf numFmtId="2" fontId="16" fillId="26" borderId="50" xfId="44" applyNumberFormat="1" applyFill="1" applyBorder="1" applyAlignment="1">
      <alignment horizontal="center"/>
    </xf>
    <xf numFmtId="2" fontId="16" fillId="0" borderId="0" xfId="44" applyNumberFormat="1"/>
    <xf numFmtId="4" fontId="3" fillId="37" borderId="0" xfId="0" applyNumberFormat="1" applyFont="1" applyFill="1"/>
    <xf numFmtId="2" fontId="4" fillId="0" borderId="24" xfId="51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5" fontId="3" fillId="37" borderId="0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85" fillId="39" borderId="0" xfId="0" applyNumberFormat="1" applyFont="1" applyFill="1" applyBorder="1" applyAlignment="1">
      <alignment horizontal="center"/>
    </xf>
    <xf numFmtId="0" fontId="3" fillId="0" borderId="0" xfId="44" applyFont="1" applyAlignment="1">
      <alignment horizontal="center"/>
    </xf>
    <xf numFmtId="0" fontId="3" fillId="0" borderId="0" xfId="44" applyFont="1"/>
    <xf numFmtId="0" fontId="3" fillId="0" borderId="0" xfId="44" applyFont="1" applyAlignment="1">
      <alignment horizontal="right"/>
    </xf>
    <xf numFmtId="0" fontId="6" fillId="0" borderId="0" xfId="44" applyFont="1"/>
    <xf numFmtId="0" fontId="9" fillId="0" borderId="0" xfId="44" applyFont="1" applyAlignment="1">
      <alignment horizontal="center"/>
    </xf>
    <xf numFmtId="49" fontId="3" fillId="0" borderId="0" xfId="44" applyNumberFormat="1" applyFont="1" applyAlignment="1">
      <alignment horizontal="center"/>
    </xf>
    <xf numFmtId="49" fontId="3" fillId="0" borderId="0" xfId="44" applyNumberFormat="1" applyFont="1"/>
    <xf numFmtId="0" fontId="3" fillId="0" borderId="0" xfId="44" applyFont="1" applyFill="1"/>
    <xf numFmtId="49" fontId="9" fillId="0" borderId="0" xfId="44" applyNumberFormat="1" applyFont="1" applyAlignment="1">
      <alignment horizontal="center"/>
    </xf>
    <xf numFmtId="0" fontId="3" fillId="0" borderId="0" xfId="44" applyFont="1" applyAlignment="1">
      <alignment horizontal="centerContinuous"/>
    </xf>
    <xf numFmtId="49" fontId="3" fillId="0" borderId="0" xfId="44" applyNumberFormat="1" applyFont="1" applyAlignment="1">
      <alignment horizontal="centerContinuous"/>
    </xf>
    <xf numFmtId="0" fontId="3" fillId="0" borderId="0" xfId="44" applyFont="1" applyFill="1" applyAlignment="1">
      <alignment horizontal="centerContinuous"/>
    </xf>
    <xf numFmtId="0" fontId="9" fillId="0" borderId="0" xfId="44" applyFont="1" applyAlignment="1">
      <alignment horizontal="centerContinuous"/>
    </xf>
    <xf numFmtId="49" fontId="9" fillId="0" borderId="58" xfId="44" applyNumberFormat="1" applyFont="1" applyBorder="1" applyAlignment="1">
      <alignment horizontal="center"/>
    </xf>
    <xf numFmtId="0" fontId="9" fillId="0" borderId="58" xfId="44" applyFont="1" applyBorder="1" applyAlignment="1">
      <alignment horizontal="centerContinuous"/>
    </xf>
    <xf numFmtId="49" fontId="9" fillId="0" borderId="58" xfId="44" applyNumberFormat="1" applyFont="1" applyBorder="1" applyAlignment="1">
      <alignment horizontal="centerContinuous"/>
    </xf>
    <xf numFmtId="0" fontId="9" fillId="0" borderId="58" xfId="44" applyFont="1" applyFill="1" applyBorder="1" applyAlignment="1">
      <alignment horizontal="centerContinuous"/>
    </xf>
    <xf numFmtId="0" fontId="13" fillId="0" borderId="0" xfId="44" applyFont="1"/>
    <xf numFmtId="0" fontId="9" fillId="0" borderId="0" xfId="44" applyFont="1"/>
    <xf numFmtId="49" fontId="3" fillId="0" borderId="0" xfId="44" applyNumberFormat="1" applyFont="1" applyBorder="1" applyAlignment="1">
      <alignment horizontal="center"/>
    </xf>
    <xf numFmtId="0" fontId="3" fillId="0" borderId="0" xfId="44" applyFont="1" applyBorder="1"/>
    <xf numFmtId="49" fontId="3" fillId="0" borderId="0" xfId="44" applyNumberFormat="1" applyFont="1" applyBorder="1"/>
    <xf numFmtId="0" fontId="3" fillId="0" borderId="0" xfId="44" applyFont="1" applyFill="1" applyBorder="1"/>
    <xf numFmtId="0" fontId="9" fillId="0" borderId="0" xfId="44" applyFont="1" applyAlignment="1">
      <alignment horizontal="left"/>
    </xf>
    <xf numFmtId="49" fontId="9" fillId="0" borderId="15" xfId="44" applyNumberFormat="1" applyFont="1" applyBorder="1" applyAlignment="1">
      <alignment horizontal="center" vertical="center"/>
    </xf>
    <xf numFmtId="0" fontId="9" fillId="0" borderId="16" xfId="44" applyFont="1" applyBorder="1" applyAlignment="1">
      <alignment horizontal="center" vertical="center"/>
    </xf>
    <xf numFmtId="0" fontId="9" fillId="0" borderId="15" xfId="44" applyFont="1" applyBorder="1" applyAlignment="1">
      <alignment horizontal="center" vertical="center"/>
    </xf>
    <xf numFmtId="1" fontId="9" fillId="0" borderId="15" xfId="44" applyNumberFormat="1" applyFont="1" applyBorder="1" applyAlignment="1">
      <alignment horizontal="center" vertical="center"/>
    </xf>
    <xf numFmtId="1" fontId="9" fillId="0" borderId="15" xfId="44" applyNumberFormat="1" applyFont="1" applyBorder="1" applyAlignment="1">
      <alignment horizontal="center" vertical="center" wrapText="1"/>
    </xf>
    <xf numFmtId="0" fontId="13" fillId="0" borderId="11" xfId="44" applyFont="1" applyBorder="1" applyAlignment="1">
      <alignment horizontal="center" vertical="center"/>
    </xf>
    <xf numFmtId="0" fontId="9" fillId="0" borderId="0" xfId="44" applyFont="1" applyAlignment="1">
      <alignment horizontal="center" vertical="center"/>
    </xf>
    <xf numFmtId="49" fontId="3" fillId="0" borderId="13" xfId="44" applyNumberFormat="1" applyFont="1" applyBorder="1" applyAlignment="1">
      <alignment horizontal="center" vertical="top"/>
    </xf>
    <xf numFmtId="0" fontId="3" fillId="0" borderId="13" xfId="44" applyFont="1" applyBorder="1" applyAlignment="1">
      <alignment vertical="top"/>
    </xf>
    <xf numFmtId="0" fontId="3" fillId="0" borderId="13" xfId="44" applyFont="1" applyBorder="1" applyAlignment="1">
      <alignment horizontal="center"/>
    </xf>
    <xf numFmtId="49" fontId="3" fillId="0" borderId="13" xfId="44" applyNumberFormat="1" applyFont="1" applyBorder="1" applyAlignment="1">
      <alignment horizontal="center"/>
    </xf>
    <xf numFmtId="165" fontId="3" fillId="27" borderId="13" xfId="44" applyNumberFormat="1" applyFont="1" applyFill="1" applyBorder="1" applyAlignment="1">
      <alignment horizontal="center"/>
    </xf>
    <xf numFmtId="165" fontId="3" fillId="26" borderId="13" xfId="44" applyNumberFormat="1" applyFont="1" applyFill="1" applyBorder="1" applyAlignment="1">
      <alignment horizontal="center"/>
    </xf>
    <xf numFmtId="165" fontId="3" fillId="0" borderId="13" xfId="44" applyNumberFormat="1" applyFont="1" applyBorder="1" applyAlignment="1">
      <alignment horizontal="center"/>
    </xf>
    <xf numFmtId="0" fontId="6" fillId="0" borderId="13" xfId="44" applyFont="1" applyBorder="1"/>
    <xf numFmtId="2" fontId="6" fillId="0" borderId="13" xfId="44" applyNumberFormat="1" applyFont="1" applyBorder="1"/>
    <xf numFmtId="0" fontId="3" fillId="0" borderId="13" xfId="44" applyFont="1" applyBorder="1"/>
    <xf numFmtId="49" fontId="3" fillId="0" borderId="12" xfId="44" applyNumberFormat="1" applyFont="1" applyBorder="1" applyAlignment="1">
      <alignment horizontal="center" vertical="top"/>
    </xf>
    <xf numFmtId="0" fontId="3" fillId="0" borderId="12" xfId="44" applyFont="1" applyBorder="1" applyAlignment="1">
      <alignment vertical="top"/>
    </xf>
    <xf numFmtId="0" fontId="3" fillId="0" borderId="12" xfId="44" applyFont="1" applyBorder="1" applyAlignment="1">
      <alignment horizontal="center"/>
    </xf>
    <xf numFmtId="49" fontId="3" fillId="0" borderId="12" xfId="44" applyNumberFormat="1" applyFont="1" applyBorder="1" applyAlignment="1">
      <alignment horizontal="center"/>
    </xf>
    <xf numFmtId="165" fontId="3" fillId="26" borderId="12" xfId="44" applyNumberFormat="1" applyFont="1" applyFill="1" applyBorder="1" applyAlignment="1">
      <alignment horizontal="center"/>
    </xf>
    <xf numFmtId="165" fontId="3" fillId="0" borderId="12" xfId="44" applyNumberFormat="1" applyFont="1" applyBorder="1" applyAlignment="1">
      <alignment horizontal="center"/>
    </xf>
    <xf numFmtId="0" fontId="6" fillId="0" borderId="12" xfId="44" applyFont="1" applyBorder="1"/>
    <xf numFmtId="2" fontId="6" fillId="0" borderId="12" xfId="44" applyNumberFormat="1" applyFont="1" applyBorder="1"/>
    <xf numFmtId="0" fontId="3" fillId="0" borderId="12" xfId="44" applyFont="1" applyBorder="1"/>
    <xf numFmtId="49" fontId="3" fillId="0" borderId="12" xfId="44" applyNumberFormat="1" applyFont="1" applyFill="1" applyBorder="1" applyAlignment="1">
      <alignment horizontal="center" vertical="top"/>
    </xf>
    <xf numFmtId="0" fontId="3" fillId="0" borderId="12" xfId="44" applyFont="1" applyFill="1" applyBorder="1" applyAlignment="1">
      <alignment vertical="top"/>
    </xf>
    <xf numFmtId="0" fontId="3" fillId="0" borderId="12" xfId="44" applyFont="1" applyFill="1" applyBorder="1" applyAlignment="1">
      <alignment horizontal="center"/>
    </xf>
    <xf numFmtId="49" fontId="3" fillId="0" borderId="12" xfId="44" applyNumberFormat="1" applyFont="1" applyFill="1" applyBorder="1" applyAlignment="1">
      <alignment horizontal="center"/>
    </xf>
    <xf numFmtId="165" fontId="3" fillId="27" borderId="12" xfId="44" applyNumberFormat="1" applyFont="1" applyFill="1" applyBorder="1" applyAlignment="1">
      <alignment horizontal="center"/>
    </xf>
    <xf numFmtId="165" fontId="3" fillId="0" borderId="12" xfId="44" applyNumberFormat="1" applyFont="1" applyFill="1" applyBorder="1" applyAlignment="1">
      <alignment horizontal="center"/>
    </xf>
    <xf numFmtId="3" fontId="6" fillId="0" borderId="12" xfId="44" applyNumberFormat="1" applyFont="1" applyFill="1" applyBorder="1"/>
    <xf numFmtId="0" fontId="3" fillId="0" borderId="12" xfId="44" applyFont="1" applyFill="1" applyBorder="1"/>
    <xf numFmtId="0" fontId="3" fillId="0" borderId="12" xfId="44" applyFont="1" applyFill="1" applyBorder="1" applyAlignment="1">
      <alignment vertical="top" wrapText="1"/>
    </xf>
    <xf numFmtId="0" fontId="6" fillId="0" borderId="12" xfId="44" applyFont="1" applyFill="1" applyBorder="1"/>
    <xf numFmtId="2" fontId="6" fillId="0" borderId="12" xfId="44" applyNumberFormat="1" applyFont="1" applyFill="1" applyBorder="1"/>
    <xf numFmtId="0" fontId="3" fillId="28" borderId="0" xfId="44" applyFont="1" applyFill="1"/>
    <xf numFmtId="0" fontId="3" fillId="0" borderId="12" xfId="44" applyFont="1" applyBorder="1" applyAlignment="1">
      <alignment vertical="top" wrapText="1"/>
    </xf>
    <xf numFmtId="0" fontId="3" fillId="0" borderId="12" xfId="44" applyFont="1" applyBorder="1" applyAlignment="1">
      <alignment horizontal="center" wrapText="1"/>
    </xf>
    <xf numFmtId="2" fontId="3" fillId="0" borderId="12" xfId="44" applyNumberFormat="1" applyFont="1" applyBorder="1" applyAlignment="1">
      <alignment horizontal="center"/>
    </xf>
    <xf numFmtId="0" fontId="3" fillId="0" borderId="12" xfId="44" applyFont="1" applyBorder="1" applyAlignment="1">
      <alignment horizontal="right" vertical="top" wrapText="1"/>
    </xf>
    <xf numFmtId="2" fontId="3" fillId="26" borderId="12" xfId="44" applyNumberFormat="1" applyFont="1" applyFill="1" applyBorder="1" applyAlignment="1">
      <alignment horizontal="center"/>
    </xf>
    <xf numFmtId="49" fontId="3" fillId="0" borderId="12" xfId="44" applyNumberFormat="1" applyFont="1" applyBorder="1" applyAlignment="1">
      <alignment horizontal="right" vertical="top"/>
    </xf>
    <xf numFmtId="0" fontId="3" fillId="0" borderId="12" xfId="44" applyFont="1" applyFill="1" applyBorder="1" applyAlignment="1">
      <alignment horizontal="left" vertical="top"/>
    </xf>
    <xf numFmtId="49" fontId="3" fillId="0" borderId="14" xfId="44" applyNumberFormat="1" applyFont="1" applyBorder="1" applyAlignment="1">
      <alignment horizontal="center" vertical="top"/>
    </xf>
    <xf numFmtId="0" fontId="3" fillId="0" borderId="14" xfId="44" applyFont="1" applyFill="1" applyBorder="1" applyAlignment="1">
      <alignment vertical="top"/>
    </xf>
    <xf numFmtId="0" fontId="3" fillId="0" borderId="14" xfId="44" applyFont="1" applyBorder="1" applyAlignment="1">
      <alignment horizontal="center"/>
    </xf>
    <xf numFmtId="49" fontId="3" fillId="0" borderId="14" xfId="44" applyNumberFormat="1" applyFont="1" applyBorder="1" applyAlignment="1">
      <alignment horizontal="center"/>
    </xf>
    <xf numFmtId="165" fontId="3" fillId="26" borderId="14" xfId="44" applyNumberFormat="1" applyFont="1" applyFill="1" applyBorder="1" applyAlignment="1">
      <alignment horizontal="center"/>
    </xf>
    <xf numFmtId="2" fontId="3" fillId="0" borderId="14" xfId="44" applyNumberFormat="1" applyFont="1" applyBorder="1" applyAlignment="1">
      <alignment horizontal="center"/>
    </xf>
    <xf numFmtId="165" fontId="3" fillId="0" borderId="14" xfId="44" applyNumberFormat="1" applyFont="1" applyBorder="1" applyAlignment="1">
      <alignment horizontal="center"/>
    </xf>
    <xf numFmtId="0" fontId="6" fillId="0" borderId="14" xfId="44" applyFont="1" applyBorder="1"/>
    <xf numFmtId="0" fontId="3" fillId="0" borderId="14" xfId="44" applyFont="1" applyBorder="1"/>
    <xf numFmtId="49" fontId="9" fillId="0" borderId="0" xfId="44" applyNumberFormat="1" applyFont="1" applyBorder="1" applyAlignment="1">
      <alignment horizontal="center"/>
    </xf>
    <xf numFmtId="0" fontId="9" fillId="0" borderId="0" xfId="44" applyFont="1" applyBorder="1"/>
    <xf numFmtId="0" fontId="9" fillId="0" borderId="0" xfId="44" applyFont="1" applyBorder="1" applyAlignment="1">
      <alignment horizontal="center"/>
    </xf>
    <xf numFmtId="165" fontId="9" fillId="0" borderId="0" xfId="44" applyNumberFormat="1" applyFont="1" applyFill="1" applyBorder="1" applyAlignment="1">
      <alignment horizontal="center"/>
    </xf>
    <xf numFmtId="2" fontId="9" fillId="0" borderId="0" xfId="44" applyNumberFormat="1" applyFont="1" applyFill="1" applyBorder="1" applyAlignment="1">
      <alignment horizontal="center"/>
    </xf>
    <xf numFmtId="2" fontId="9" fillId="0" borderId="0" xfId="44" applyNumberFormat="1" applyFont="1" applyBorder="1" applyAlignment="1">
      <alignment horizontal="center"/>
    </xf>
    <xf numFmtId="2" fontId="3" fillId="0" borderId="0" xfId="44" applyNumberFormat="1" applyFont="1" applyBorder="1" applyAlignment="1">
      <alignment horizontal="center"/>
    </xf>
    <xf numFmtId="0" fontId="3" fillId="0" borderId="0" xfId="44" applyFont="1" applyBorder="1" applyAlignment="1">
      <alignment horizontal="center"/>
    </xf>
    <xf numFmtId="165" fontId="3" fillId="0" borderId="0" xfId="44" applyNumberFormat="1" applyFont="1" applyFill="1" applyBorder="1" applyAlignment="1">
      <alignment horizontal="center"/>
    </xf>
    <xf numFmtId="0" fontId="3" fillId="0" borderId="0" xfId="44" applyFont="1" applyBorder="1" applyAlignment="1">
      <alignment horizontal="left"/>
    </xf>
    <xf numFmtId="0" fontId="3" fillId="0" borderId="0" xfId="44" applyFont="1" applyFill="1" applyBorder="1" applyAlignment="1">
      <alignment horizontal="center"/>
    </xf>
    <xf numFmtId="2" fontId="3" fillId="0" borderId="0" xfId="44" applyNumberFormat="1" applyFont="1" applyFill="1" applyBorder="1" applyAlignment="1">
      <alignment horizontal="center"/>
    </xf>
    <xf numFmtId="2" fontId="3" fillId="0" borderId="0" xfId="44" applyNumberFormat="1" applyFont="1" applyBorder="1"/>
    <xf numFmtId="0" fontId="6" fillId="0" borderId="0" xfId="44" applyFont="1" applyBorder="1"/>
    <xf numFmtId="0" fontId="83" fillId="0" borderId="0" xfId="44" applyFont="1" applyAlignment="1">
      <alignment horizontal="center"/>
    </xf>
    <xf numFmtId="0" fontId="76" fillId="0" borderId="0" xfId="44" applyFont="1" applyFill="1"/>
    <xf numFmtId="49" fontId="72" fillId="0" borderId="0" xfId="44" applyNumberFormat="1" applyFont="1" applyAlignment="1">
      <alignment horizontal="center"/>
    </xf>
    <xf numFmtId="0" fontId="76" fillId="0" borderId="0" xfId="44" applyFont="1" applyFill="1" applyAlignment="1">
      <alignment horizontal="centerContinuous"/>
    </xf>
    <xf numFmtId="0" fontId="72" fillId="0" borderId="0" xfId="44" applyFont="1" applyAlignment="1">
      <alignment horizontal="center"/>
    </xf>
    <xf numFmtId="49" fontId="76" fillId="0" borderId="58" xfId="44" applyNumberFormat="1" applyFont="1" applyBorder="1" applyAlignment="1">
      <alignment horizontal="center"/>
    </xf>
    <xf numFmtId="0" fontId="76" fillId="0" borderId="58" xfId="44" applyFont="1" applyBorder="1" applyAlignment="1">
      <alignment horizontal="centerContinuous"/>
    </xf>
    <xf numFmtId="49" fontId="76" fillId="0" borderId="58" xfId="44" applyNumberFormat="1" applyFont="1" applyBorder="1" applyAlignment="1">
      <alignment horizontal="centerContinuous"/>
    </xf>
    <xf numFmtId="0" fontId="76" fillId="0" borderId="58" xfId="44" applyFont="1" applyFill="1" applyBorder="1" applyAlignment="1">
      <alignment horizontal="centerContinuous"/>
    </xf>
    <xf numFmtId="0" fontId="76" fillId="0" borderId="0" xfId="44" applyFont="1" applyFill="1" applyBorder="1" applyAlignment="1">
      <alignment horizontal="centerContinuous"/>
    </xf>
    <xf numFmtId="0" fontId="76" fillId="0" borderId="0" xfId="44" applyFont="1" applyAlignment="1">
      <alignment horizontal="centerContinuous"/>
    </xf>
    <xf numFmtId="0" fontId="76" fillId="0" borderId="0" xfId="44" applyFont="1"/>
    <xf numFmtId="0" fontId="76" fillId="0" borderId="0" xfId="44" applyFont="1" applyFill="1" applyBorder="1"/>
    <xf numFmtId="49" fontId="16" fillId="0" borderId="15" xfId="44" applyNumberFormat="1" applyBorder="1" applyAlignment="1">
      <alignment horizontal="center"/>
    </xf>
    <xf numFmtId="2" fontId="16" fillId="0" borderId="0" xfId="44" applyNumberFormat="1" applyBorder="1" applyAlignment="1">
      <alignment horizontal="center" vertical="center" wrapText="1"/>
    </xf>
    <xf numFmtId="49" fontId="16" fillId="0" borderId="50" xfId="44" applyNumberFormat="1" applyBorder="1" applyAlignment="1">
      <alignment horizontal="center"/>
    </xf>
    <xf numFmtId="166" fontId="16" fillId="0" borderId="0" xfId="44" applyNumberFormat="1" applyBorder="1" applyAlignment="1">
      <alignment horizontal="center" vertical="center" wrapText="1"/>
    </xf>
    <xf numFmtId="49" fontId="76" fillId="0" borderId="17" xfId="44" applyNumberFormat="1" applyFont="1" applyBorder="1" applyAlignment="1">
      <alignment horizontal="center" vertical="center"/>
    </xf>
    <xf numFmtId="0" fontId="76" fillId="0" borderId="64" xfId="44" applyFont="1" applyBorder="1" applyAlignment="1">
      <alignment horizontal="center" vertical="center"/>
    </xf>
    <xf numFmtId="0" fontId="76" fillId="0" borderId="17" xfId="44" applyFont="1" applyBorder="1" applyAlignment="1">
      <alignment horizontal="center" vertical="center"/>
    </xf>
    <xf numFmtId="1" fontId="76" fillId="0" borderId="17" xfId="44" applyNumberFormat="1" applyFont="1" applyBorder="1" applyAlignment="1">
      <alignment horizontal="center" vertical="center"/>
    </xf>
    <xf numFmtId="0" fontId="76" fillId="0" borderId="17" xfId="44" applyFont="1" applyBorder="1" applyAlignment="1">
      <alignment horizontal="center" vertical="center" wrapText="1"/>
    </xf>
    <xf numFmtId="1" fontId="76" fillId="0" borderId="17" xfId="44" applyNumberFormat="1" applyFont="1" applyBorder="1" applyAlignment="1">
      <alignment horizontal="center" vertical="center" wrapText="1"/>
    </xf>
    <xf numFmtId="1" fontId="76" fillId="0" borderId="0" xfId="44" applyNumberFormat="1" applyFont="1" applyBorder="1" applyAlignment="1">
      <alignment horizontal="center" vertical="center"/>
    </xf>
    <xf numFmtId="2" fontId="76" fillId="0" borderId="0" xfId="44" applyNumberFormat="1" applyFont="1"/>
    <xf numFmtId="9" fontId="76" fillId="0" borderId="0" xfId="58" applyFont="1"/>
    <xf numFmtId="0" fontId="76" fillId="0" borderId="0" xfId="44" applyFont="1" applyAlignment="1">
      <alignment horizontal="center" vertical="center"/>
    </xf>
    <xf numFmtId="165" fontId="84" fillId="27" borderId="11" xfId="44" applyNumberFormat="1" applyFont="1" applyFill="1" applyBorder="1" applyAlignment="1">
      <alignment horizontal="center"/>
    </xf>
    <xf numFmtId="165" fontId="84" fillId="26" borderId="11" xfId="44" applyNumberFormat="1" applyFont="1" applyFill="1" applyBorder="1" applyAlignment="1">
      <alignment horizontal="center"/>
    </xf>
    <xf numFmtId="172" fontId="84" fillId="26" borderId="11" xfId="44" applyNumberFormat="1" applyFont="1" applyFill="1" applyBorder="1" applyAlignment="1">
      <alignment horizontal="center"/>
    </xf>
    <xf numFmtId="173" fontId="84" fillId="26" borderId="11" xfId="44" applyNumberFormat="1" applyFont="1" applyFill="1" applyBorder="1" applyAlignment="1">
      <alignment horizontal="center"/>
    </xf>
    <xf numFmtId="165" fontId="83" fillId="26" borderId="11" xfId="44" applyNumberFormat="1" applyFont="1" applyFill="1" applyBorder="1" applyAlignment="1">
      <alignment horizontal="center"/>
    </xf>
    <xf numFmtId="165" fontId="84" fillId="0" borderId="11" xfId="44" applyNumberFormat="1" applyFont="1" applyBorder="1" applyAlignment="1">
      <alignment horizontal="center"/>
    </xf>
    <xf numFmtId="9" fontId="16" fillId="0" borderId="0" xfId="58"/>
    <xf numFmtId="49" fontId="16" fillId="0" borderId="11" xfId="44" applyNumberFormat="1" applyFill="1" applyBorder="1" applyAlignment="1">
      <alignment horizontal="center"/>
    </xf>
    <xf numFmtId="0" fontId="16" fillId="0" borderId="58" xfId="44" applyFill="1" applyBorder="1"/>
    <xf numFmtId="165" fontId="84" fillId="0" borderId="11" xfId="44" applyNumberFormat="1" applyFont="1" applyFill="1" applyBorder="1" applyAlignment="1">
      <alignment horizontal="center"/>
    </xf>
    <xf numFmtId="0" fontId="16" fillId="28" borderId="0" xfId="44" applyFill="1"/>
    <xf numFmtId="49" fontId="16" fillId="0" borderId="11" xfId="44" applyNumberFormat="1" applyFill="1" applyBorder="1" applyAlignment="1">
      <alignment horizontal="center" vertical="top"/>
    </xf>
    <xf numFmtId="0" fontId="16" fillId="0" borderId="58" xfId="44" applyFill="1" applyBorder="1" applyAlignment="1">
      <alignment wrapText="1"/>
    </xf>
    <xf numFmtId="165" fontId="84" fillId="28" borderId="11" xfId="44" applyNumberFormat="1" applyFont="1" applyFill="1" applyBorder="1" applyAlignment="1">
      <alignment horizontal="center"/>
    </xf>
    <xf numFmtId="172" fontId="84" fillId="28" borderId="11" xfId="44" applyNumberFormat="1" applyFont="1" applyFill="1" applyBorder="1" applyAlignment="1">
      <alignment horizontal="center"/>
    </xf>
    <xf numFmtId="173" fontId="84" fillId="28" borderId="11" xfId="44" applyNumberFormat="1" applyFont="1" applyFill="1" applyBorder="1" applyAlignment="1">
      <alignment horizontal="center"/>
    </xf>
    <xf numFmtId="0" fontId="16" fillId="0" borderId="58" xfId="44" applyBorder="1" applyAlignment="1">
      <alignment wrapText="1"/>
    </xf>
    <xf numFmtId="49" fontId="16" fillId="0" borderId="11" xfId="44" applyNumberFormat="1" applyBorder="1" applyAlignment="1">
      <alignment horizontal="center" vertical="top"/>
    </xf>
    <xf numFmtId="49" fontId="74" fillId="0" borderId="11" xfId="44" applyNumberFormat="1" applyFont="1" applyBorder="1" applyAlignment="1">
      <alignment horizontal="center"/>
    </xf>
    <xf numFmtId="165" fontId="16" fillId="0" borderId="0" xfId="44" applyNumberFormat="1" applyFill="1" applyBorder="1" applyAlignment="1">
      <alignment horizontal="center"/>
    </xf>
    <xf numFmtId="172" fontId="16" fillId="26" borderId="11" xfId="44" applyNumberFormat="1" applyFill="1" applyBorder="1" applyAlignment="1">
      <alignment horizontal="center"/>
    </xf>
    <xf numFmtId="165" fontId="76" fillId="26" borderId="11" xfId="44" applyNumberFormat="1" applyFont="1" applyFill="1" applyBorder="1" applyAlignment="1">
      <alignment horizontal="center"/>
    </xf>
    <xf numFmtId="165" fontId="76" fillId="26" borderId="0" xfId="44" applyNumberFormat="1" applyFont="1" applyFill="1" applyBorder="1" applyAlignment="1">
      <alignment horizontal="center"/>
    </xf>
    <xf numFmtId="165" fontId="76" fillId="26" borderId="58" xfId="44" applyNumberFormat="1" applyFont="1" applyFill="1" applyBorder="1" applyAlignment="1">
      <alignment horizontal="center"/>
    </xf>
    <xf numFmtId="165" fontId="16" fillId="26" borderId="58" xfId="44" applyNumberFormat="1" applyFill="1" applyBorder="1"/>
    <xf numFmtId="165" fontId="16" fillId="26" borderId="0" xfId="44" applyNumberFormat="1" applyFill="1" applyBorder="1"/>
    <xf numFmtId="165" fontId="76" fillId="26" borderId="0" xfId="44" applyNumberFormat="1" applyFont="1" applyFill="1" applyBorder="1"/>
    <xf numFmtId="49" fontId="73" fillId="0" borderId="11" xfId="44" applyNumberFormat="1" applyFont="1" applyBorder="1" applyAlignment="1">
      <alignment horizontal="center"/>
    </xf>
    <xf numFmtId="0" fontId="73" fillId="0" borderId="58" xfId="44" applyFont="1" applyFill="1" applyBorder="1" applyAlignment="1">
      <alignment horizontal="left"/>
    </xf>
    <xf numFmtId="165" fontId="73" fillId="26" borderId="11" xfId="44" applyNumberFormat="1" applyFont="1" applyFill="1" applyBorder="1" applyAlignment="1">
      <alignment horizontal="center"/>
    </xf>
    <xf numFmtId="2" fontId="73" fillId="0" borderId="11" xfId="44" applyNumberFormat="1" applyFont="1" applyBorder="1" applyAlignment="1">
      <alignment horizontal="center"/>
    </xf>
    <xf numFmtId="2" fontId="84" fillId="0" borderId="11" xfId="44" applyNumberFormat="1" applyFont="1" applyBorder="1" applyAlignment="1">
      <alignment horizontal="center"/>
    </xf>
    <xf numFmtId="2" fontId="73" fillId="0" borderId="0" xfId="44" applyNumberFormat="1" applyFont="1" applyBorder="1" applyAlignment="1">
      <alignment horizontal="center"/>
    </xf>
    <xf numFmtId="2" fontId="73" fillId="0" borderId="0" xfId="44" applyNumberFormat="1" applyFont="1"/>
    <xf numFmtId="9" fontId="73" fillId="0" borderId="0" xfId="58" applyFont="1"/>
    <xf numFmtId="49" fontId="73" fillId="0" borderId="50" xfId="44" applyNumberFormat="1" applyFont="1" applyBorder="1" applyAlignment="1">
      <alignment horizontal="center"/>
    </xf>
    <xf numFmtId="0" fontId="73" fillId="0" borderId="62" xfId="44" applyFont="1" applyBorder="1"/>
    <xf numFmtId="0" fontId="73" fillId="0" borderId="50" xfId="44" applyFont="1" applyBorder="1" applyAlignment="1">
      <alignment horizontal="center"/>
    </xf>
    <xf numFmtId="165" fontId="73" fillId="26" borderId="50" xfId="44" applyNumberFormat="1" applyFont="1" applyFill="1" applyBorder="1" applyAlignment="1">
      <alignment horizontal="center"/>
    </xf>
    <xf numFmtId="2" fontId="73" fillId="0" borderId="50" xfId="44" applyNumberFormat="1" applyFont="1" applyBorder="1" applyAlignment="1">
      <alignment horizontal="center"/>
    </xf>
    <xf numFmtId="2" fontId="84" fillId="0" borderId="50" xfId="44" applyNumberFormat="1" applyFont="1" applyBorder="1" applyAlignment="1">
      <alignment horizontal="center"/>
    </xf>
    <xf numFmtId="165" fontId="84" fillId="0" borderId="50" xfId="44" applyNumberFormat="1" applyFont="1" applyBorder="1" applyAlignment="1">
      <alignment horizontal="center"/>
    </xf>
    <xf numFmtId="49" fontId="76" fillId="0" borderId="0" xfId="44" applyNumberFormat="1" applyFont="1" applyBorder="1" applyAlignment="1">
      <alignment horizontal="center"/>
    </xf>
    <xf numFmtId="0" fontId="76" fillId="0" borderId="0" xfId="44" applyFont="1" applyBorder="1"/>
    <xf numFmtId="0" fontId="76" fillId="0" borderId="0" xfId="44" applyFont="1" applyBorder="1" applyAlignment="1">
      <alignment horizontal="center"/>
    </xf>
    <xf numFmtId="165" fontId="76" fillId="0" borderId="0" xfId="44" applyNumberFormat="1" applyFont="1" applyFill="1" applyBorder="1" applyAlignment="1">
      <alignment horizontal="center"/>
    </xf>
    <xf numFmtId="2" fontId="76" fillId="0" borderId="0" xfId="44" applyNumberFormat="1" applyFont="1" applyFill="1" applyBorder="1" applyAlignment="1">
      <alignment horizontal="center"/>
    </xf>
    <xf numFmtId="2" fontId="76" fillId="0" borderId="0" xfId="44" applyNumberFormat="1" applyFont="1" applyBorder="1" applyAlignment="1">
      <alignment horizontal="center"/>
    </xf>
    <xf numFmtId="2" fontId="83" fillId="0" borderId="0" xfId="44" applyNumberFormat="1" applyFont="1" applyBorder="1" applyAlignment="1">
      <alignment horizontal="center"/>
    </xf>
    <xf numFmtId="2" fontId="16" fillId="0" borderId="0" xfId="44" applyNumberFormat="1" applyBorder="1"/>
    <xf numFmtId="2" fontId="16" fillId="0" borderId="0" xfId="44" applyNumberFormat="1" applyBorder="1" applyAlignment="1">
      <alignment horizontal="center" wrapText="1"/>
    </xf>
    <xf numFmtId="49" fontId="16" fillId="0" borderId="54" xfId="44" applyNumberFormat="1" applyBorder="1" applyAlignment="1">
      <alignment horizontal="center"/>
    </xf>
    <xf numFmtId="0" fontId="76" fillId="0" borderId="59" xfId="44" applyFont="1" applyBorder="1" applyAlignment="1">
      <alignment horizontal="center"/>
    </xf>
    <xf numFmtId="49" fontId="16" fillId="0" borderId="61" xfId="44" applyNumberFormat="1" applyBorder="1" applyAlignment="1">
      <alignment horizontal="center"/>
    </xf>
    <xf numFmtId="49" fontId="76" fillId="0" borderId="50" xfId="44" applyNumberFormat="1" applyFont="1" applyBorder="1" applyAlignment="1">
      <alignment horizontal="center"/>
    </xf>
    <xf numFmtId="0" fontId="76" fillId="0" borderId="63" xfId="44" applyFont="1" applyBorder="1" applyAlignment="1">
      <alignment horizontal="center"/>
    </xf>
    <xf numFmtId="49" fontId="75" fillId="0" borderId="15" xfId="44" applyNumberFormat="1" applyFont="1" applyBorder="1" applyAlignment="1">
      <alignment horizontal="center"/>
    </xf>
    <xf numFmtId="165" fontId="16" fillId="26" borderId="15" xfId="44" applyNumberFormat="1" applyFill="1" applyBorder="1" applyAlignment="1">
      <alignment horizontal="center"/>
    </xf>
    <xf numFmtId="165" fontId="76" fillId="26" borderId="15" xfId="44" applyNumberFormat="1" applyFont="1" applyFill="1" applyBorder="1" applyAlignment="1">
      <alignment horizontal="center"/>
    </xf>
    <xf numFmtId="165" fontId="16" fillId="0" borderId="15" xfId="44" applyNumberFormat="1" applyBorder="1" applyAlignment="1">
      <alignment horizontal="center"/>
    </xf>
    <xf numFmtId="165" fontId="16" fillId="0" borderId="15" xfId="44" applyNumberFormat="1" applyFill="1" applyBorder="1" applyAlignment="1">
      <alignment horizontal="center"/>
    </xf>
    <xf numFmtId="49" fontId="76" fillId="31" borderId="60" xfId="44" applyNumberFormat="1" applyFont="1" applyFill="1" applyBorder="1" applyAlignment="1">
      <alignment horizontal="center"/>
    </xf>
    <xf numFmtId="0" fontId="77" fillId="31" borderId="0" xfId="44" applyFont="1" applyFill="1" applyBorder="1" applyAlignment="1">
      <alignment horizontal="centerContinuous"/>
    </xf>
    <xf numFmtId="0" fontId="16" fillId="31" borderId="11" xfId="44" applyFill="1" applyBorder="1" applyAlignment="1">
      <alignment horizontal="center"/>
    </xf>
    <xf numFmtId="49" fontId="16" fillId="31" borderId="11" xfId="44" applyNumberFormat="1" applyFill="1" applyBorder="1" applyAlignment="1">
      <alignment horizontal="center"/>
    </xf>
    <xf numFmtId="165" fontId="16" fillId="31" borderId="11" xfId="44" applyNumberFormat="1" applyFill="1" applyBorder="1" applyAlignment="1">
      <alignment horizontal="center"/>
    </xf>
    <xf numFmtId="165" fontId="76" fillId="31" borderId="11" xfId="44" applyNumberFormat="1" applyFont="1" applyFill="1" applyBorder="1" applyAlignment="1">
      <alignment horizontal="center"/>
    </xf>
    <xf numFmtId="165" fontId="16" fillId="31" borderId="11" xfId="44" applyNumberFormat="1" applyFill="1" applyBorder="1"/>
    <xf numFmtId="0" fontId="16" fillId="31" borderId="0" xfId="44" applyFill="1"/>
    <xf numFmtId="165" fontId="16" fillId="0" borderId="11" xfId="44" applyNumberFormat="1" applyBorder="1"/>
    <xf numFmtId="49" fontId="16" fillId="0" borderId="60" xfId="44" applyNumberFormat="1" applyFill="1" applyBorder="1" applyAlignment="1">
      <alignment horizontal="center"/>
    </xf>
    <xf numFmtId="49" fontId="83" fillId="27" borderId="60" xfId="44" applyNumberFormat="1" applyFont="1" applyFill="1" applyBorder="1" applyAlignment="1">
      <alignment horizontal="center"/>
    </xf>
    <xf numFmtId="0" fontId="83" fillId="27" borderId="0" xfId="44" applyFont="1" applyFill="1"/>
    <xf numFmtId="0" fontId="83" fillId="27" borderId="11" xfId="44" applyFont="1" applyFill="1" applyBorder="1" applyAlignment="1">
      <alignment horizontal="center"/>
    </xf>
    <xf numFmtId="49" fontId="83" fillId="27" borderId="11" xfId="44" applyNumberFormat="1" applyFont="1" applyFill="1" applyBorder="1" applyAlignment="1">
      <alignment horizontal="center"/>
    </xf>
    <xf numFmtId="165" fontId="83" fillId="27" borderId="11" xfId="44" applyNumberFormat="1" applyFont="1" applyFill="1" applyBorder="1" applyAlignment="1">
      <alignment horizontal="center"/>
    </xf>
    <xf numFmtId="165" fontId="16" fillId="27" borderId="11" xfId="44" applyNumberFormat="1" applyFill="1" applyBorder="1" applyAlignment="1">
      <alignment horizontal="center"/>
    </xf>
    <xf numFmtId="0" fontId="16" fillId="31" borderId="0" xfId="44" applyFill="1" applyAlignment="1">
      <alignment horizontal="centerContinuous"/>
    </xf>
    <xf numFmtId="49" fontId="76" fillId="0" borderId="60" xfId="44" applyNumberFormat="1" applyFont="1" applyBorder="1" applyAlignment="1">
      <alignment horizontal="center"/>
    </xf>
    <xf numFmtId="4" fontId="16" fillId="35" borderId="11" xfId="44" applyNumberFormat="1" applyFill="1" applyBorder="1" applyAlignment="1">
      <alignment horizontal="center"/>
    </xf>
    <xf numFmtId="4" fontId="16" fillId="0" borderId="0" xfId="44" applyNumberFormat="1" applyBorder="1" applyAlignment="1">
      <alignment horizontal="center"/>
    </xf>
    <xf numFmtId="4" fontId="16" fillId="0" borderId="11" xfId="44" applyNumberFormat="1" applyBorder="1" applyAlignment="1">
      <alignment horizontal="center"/>
    </xf>
    <xf numFmtId="0" fontId="72" fillId="0" borderId="60" xfId="44" applyFont="1" applyBorder="1" applyAlignment="1">
      <alignment horizontal="center"/>
    </xf>
    <xf numFmtId="165" fontId="16" fillId="0" borderId="0" xfId="44" applyNumberFormat="1" applyBorder="1"/>
    <xf numFmtId="165" fontId="76" fillId="26" borderId="63" xfId="44" applyNumberFormat="1" applyFont="1" applyFill="1" applyBorder="1" applyAlignment="1">
      <alignment horizontal="center"/>
    </xf>
    <xf numFmtId="49" fontId="86" fillId="40" borderId="11" xfId="44" applyNumberFormat="1" applyFont="1" applyFill="1" applyBorder="1" applyAlignment="1">
      <alignment horizontal="center"/>
    </xf>
    <xf numFmtId="0" fontId="86" fillId="40" borderId="58" xfId="44" applyFont="1" applyFill="1" applyBorder="1"/>
    <xf numFmtId="0" fontId="86" fillId="40" borderId="11" xfId="44" applyFont="1" applyFill="1" applyBorder="1" applyAlignment="1">
      <alignment horizontal="center"/>
    </xf>
    <xf numFmtId="165" fontId="87" fillId="40" borderId="11" xfId="44" applyNumberFormat="1" applyFont="1" applyFill="1" applyBorder="1" applyAlignment="1">
      <alignment horizontal="center"/>
    </xf>
    <xf numFmtId="172" fontId="87" fillId="40" borderId="11" xfId="44" applyNumberFormat="1" applyFont="1" applyFill="1" applyBorder="1" applyAlignment="1">
      <alignment horizontal="center"/>
    </xf>
    <xf numFmtId="173" fontId="87" fillId="40" borderId="11" xfId="44" applyNumberFormat="1" applyFont="1" applyFill="1" applyBorder="1" applyAlignment="1">
      <alignment horizontal="center"/>
    </xf>
    <xf numFmtId="165" fontId="88" fillId="40" borderId="11" xfId="44" applyNumberFormat="1" applyFont="1" applyFill="1" applyBorder="1" applyAlignment="1">
      <alignment horizontal="center"/>
    </xf>
    <xf numFmtId="165" fontId="86" fillId="40" borderId="0" xfId="44" applyNumberFormat="1" applyFont="1" applyFill="1" applyBorder="1" applyAlignment="1">
      <alignment horizontal="center"/>
    </xf>
    <xf numFmtId="2" fontId="86" fillId="40" borderId="0" xfId="44" applyNumberFormat="1" applyFont="1" applyFill="1"/>
    <xf numFmtId="0" fontId="86" fillId="40" borderId="0" xfId="44" applyFont="1" applyFill="1"/>
    <xf numFmtId="9" fontId="86" fillId="40" borderId="0" xfId="58" applyFont="1" applyFill="1"/>
    <xf numFmtId="49" fontId="16" fillId="40" borderId="11" xfId="44" applyNumberFormat="1" applyFill="1" applyBorder="1" applyAlignment="1">
      <alignment horizontal="center"/>
    </xf>
    <xf numFmtId="0" fontId="16" fillId="40" borderId="58" xfId="44" applyFill="1" applyBorder="1"/>
    <xf numFmtId="0" fontId="16" fillId="40" borderId="11" xfId="44" applyFill="1" applyBorder="1" applyAlignment="1">
      <alignment horizontal="center"/>
    </xf>
    <xf numFmtId="165" fontId="84" fillId="40" borderId="11" xfId="44" applyNumberFormat="1" applyFont="1" applyFill="1" applyBorder="1" applyAlignment="1">
      <alignment horizontal="center"/>
    </xf>
    <xf numFmtId="172" fontId="84" fillId="40" borderId="11" xfId="44" applyNumberFormat="1" applyFont="1" applyFill="1" applyBorder="1" applyAlignment="1">
      <alignment horizontal="center"/>
    </xf>
    <xf numFmtId="173" fontId="84" fillId="40" borderId="11" xfId="44" applyNumberFormat="1" applyFont="1" applyFill="1" applyBorder="1" applyAlignment="1">
      <alignment horizontal="center"/>
    </xf>
    <xf numFmtId="165" fontId="83" fillId="40" borderId="11" xfId="44" applyNumberFormat="1" applyFont="1" applyFill="1" applyBorder="1" applyAlignment="1">
      <alignment horizontal="center"/>
    </xf>
    <xf numFmtId="165" fontId="16" fillId="40" borderId="0" xfId="44" applyNumberFormat="1" applyFill="1" applyBorder="1" applyAlignment="1">
      <alignment horizontal="center"/>
    </xf>
    <xf numFmtId="2" fontId="16" fillId="40" borderId="0" xfId="44" applyNumberFormat="1" applyFill="1"/>
    <xf numFmtId="0" fontId="16" fillId="40" borderId="0" xfId="44" applyFill="1"/>
    <xf numFmtId="9" fontId="16" fillId="40" borderId="0" xfId="58" applyFill="1"/>
    <xf numFmtId="2" fontId="3" fillId="0" borderId="0" xfId="0" applyNumberFormat="1" applyFont="1" applyFill="1"/>
    <xf numFmtId="171" fontId="3" fillId="0" borderId="0" xfId="0" applyNumberFormat="1" applyFont="1" applyFill="1"/>
    <xf numFmtId="2" fontId="4" fillId="0" borderId="0" xfId="51" applyNumberFormat="1" applyFont="1"/>
    <xf numFmtId="174" fontId="4" fillId="0" borderId="0" xfId="51" applyNumberFormat="1" applyFont="1"/>
    <xf numFmtId="171" fontId="4" fillId="0" borderId="0" xfId="51" applyNumberFormat="1" applyFont="1"/>
    <xf numFmtId="4" fontId="4" fillId="0" borderId="24" xfId="51" applyNumberFormat="1" applyFont="1" applyFill="1" applyBorder="1" applyAlignment="1">
      <alignment horizontal="center"/>
    </xf>
    <xf numFmtId="4" fontId="4" fillId="0" borderId="12" xfId="51" applyNumberFormat="1" applyFont="1" applyFill="1" applyBorder="1" applyAlignment="1">
      <alignment horizontal="center"/>
    </xf>
    <xf numFmtId="4" fontId="4" fillId="0" borderId="26" xfId="51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top"/>
    </xf>
    <xf numFmtId="4" fontId="4" fillId="0" borderId="20" xfId="0" applyNumberFormat="1" applyFont="1" applyFill="1" applyBorder="1" applyAlignment="1">
      <alignment horizontal="center"/>
    </xf>
    <xf numFmtId="174" fontId="3" fillId="0" borderId="0" xfId="0" applyNumberFormat="1" applyFont="1" applyFill="1"/>
    <xf numFmtId="4" fontId="4" fillId="0" borderId="28" xfId="0" applyNumberFormat="1" applyFont="1" applyFill="1" applyBorder="1" applyAlignment="1">
      <alignment horizontal="center"/>
    </xf>
    <xf numFmtId="2" fontId="4" fillId="0" borderId="25" xfId="51" applyNumberFormat="1" applyFont="1" applyFill="1" applyBorder="1" applyAlignment="1">
      <alignment horizontal="center"/>
    </xf>
    <xf numFmtId="2" fontId="4" fillId="0" borderId="27" xfId="51" applyNumberFormat="1" applyFont="1" applyFill="1" applyBorder="1" applyAlignment="1">
      <alignment horizontal="center"/>
    </xf>
    <xf numFmtId="4" fontId="4" fillId="0" borderId="25" xfId="51" applyNumberFormat="1" applyFont="1" applyFill="1" applyBorder="1" applyAlignment="1">
      <alignment horizontal="center"/>
    </xf>
    <xf numFmtId="4" fontId="4" fillId="0" borderId="27" xfId="51" applyNumberFormat="1" applyFont="1" applyFill="1" applyBorder="1" applyAlignment="1">
      <alignment horizontal="center"/>
    </xf>
    <xf numFmtId="4" fontId="4" fillId="0" borderId="28" xfId="51" applyNumberFormat="1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166" fontId="4" fillId="0" borderId="0" xfId="51" applyNumberFormat="1" applyFont="1"/>
    <xf numFmtId="49" fontId="3" fillId="0" borderId="25" xfId="0" applyNumberFormat="1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center"/>
    </xf>
    <xf numFmtId="175" fontId="3" fillId="0" borderId="34" xfId="0" applyNumberFormat="1" applyFont="1" applyFill="1" applyBorder="1" applyAlignment="1">
      <alignment horizontal="center" vertical="top"/>
    </xf>
    <xf numFmtId="175" fontId="3" fillId="0" borderId="23" xfId="0" applyNumberFormat="1" applyFont="1" applyFill="1" applyBorder="1" applyAlignment="1">
      <alignment vertical="top"/>
    </xf>
    <xf numFmtId="175" fontId="3" fillId="0" borderId="24" xfId="0" applyNumberFormat="1" applyFont="1" applyFill="1" applyBorder="1" applyAlignment="1">
      <alignment horizontal="center" vertical="top"/>
    </xf>
    <xf numFmtId="175" fontId="3" fillId="0" borderId="12" xfId="0" applyNumberFormat="1" applyFont="1" applyFill="1" applyBorder="1" applyAlignment="1">
      <alignment horizontal="center" vertical="top"/>
    </xf>
    <xf numFmtId="175" fontId="3" fillId="0" borderId="26" xfId="0" applyNumberFormat="1" applyFont="1" applyFill="1" applyBorder="1" applyAlignment="1">
      <alignment horizontal="center" vertical="top"/>
    </xf>
    <xf numFmtId="175" fontId="3" fillId="0" borderId="38" xfId="0" applyNumberFormat="1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 vertical="top"/>
    </xf>
    <xf numFmtId="175" fontId="3" fillId="0" borderId="35" xfId="0" applyNumberFormat="1" applyFont="1" applyFill="1" applyBorder="1" applyAlignment="1">
      <alignment vertical="top"/>
    </xf>
    <xf numFmtId="175" fontId="3" fillId="0" borderId="41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68" xfId="0" applyFont="1" applyFill="1" applyBorder="1" applyAlignment="1">
      <alignment horizontal="center" wrapText="1"/>
    </xf>
    <xf numFmtId="49" fontId="41" fillId="0" borderId="69" xfId="0" applyNumberFormat="1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71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2" fontId="41" fillId="0" borderId="73" xfId="0" applyNumberFormat="1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2" fontId="41" fillId="0" borderId="76" xfId="0" applyNumberFormat="1" applyFont="1" applyFill="1" applyBorder="1" applyAlignment="1">
      <alignment horizontal="center" vertical="center" wrapText="1"/>
    </xf>
    <xf numFmtId="2" fontId="41" fillId="0" borderId="77" xfId="0" applyNumberFormat="1" applyFont="1" applyFill="1" applyBorder="1" applyAlignment="1">
      <alignment horizontal="center" vertical="center" wrapText="1"/>
    </xf>
    <xf numFmtId="2" fontId="41" fillId="0" borderId="78" xfId="0" applyNumberFormat="1" applyFont="1" applyFill="1" applyBorder="1" applyAlignment="1">
      <alignment horizontal="center" vertical="center" wrapText="1"/>
    </xf>
    <xf numFmtId="2" fontId="41" fillId="0" borderId="79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8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2" fontId="41" fillId="0" borderId="20" xfId="0" applyNumberFormat="1" applyFont="1" applyFill="1" applyBorder="1" applyAlignment="1">
      <alignment horizontal="center" vertical="center" wrapText="1"/>
    </xf>
    <xf numFmtId="2" fontId="41" fillId="0" borderId="26" xfId="0" applyNumberFormat="1" applyFont="1" applyFill="1" applyBorder="1" applyAlignment="1">
      <alignment horizontal="center" vertical="center" wrapText="1"/>
    </xf>
    <xf numFmtId="2" fontId="41" fillId="0" borderId="81" xfId="0" applyNumberFormat="1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49" fontId="41" fillId="0" borderId="84" xfId="0" applyNumberFormat="1" applyFont="1" applyFill="1" applyBorder="1" applyAlignment="1">
      <alignment horizontal="center" vertical="center" wrapText="1"/>
    </xf>
    <xf numFmtId="0" fontId="41" fillId="0" borderId="85" xfId="0" applyFont="1" applyFill="1" applyBorder="1" applyAlignment="1">
      <alignment horizontal="center" vertical="center" wrapText="1"/>
    </xf>
    <xf numFmtId="0" fontId="41" fillId="0" borderId="86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2" fontId="41" fillId="0" borderId="88" xfId="0" applyNumberFormat="1" applyFont="1" applyFill="1" applyBorder="1" applyAlignment="1">
      <alignment horizontal="center" vertical="center" wrapText="1"/>
    </xf>
    <xf numFmtId="0" fontId="17" fillId="0" borderId="0" xfId="51" applyFont="1" applyAlignment="1">
      <alignment wrapText="1"/>
    </xf>
    <xf numFmtId="0" fontId="10" fillId="0" borderId="0" xfId="51" applyFont="1" applyAlignment="1">
      <alignment horizontal="center" vertical="center"/>
    </xf>
    <xf numFmtId="0" fontId="10" fillId="0" borderId="0" xfId="51" applyFont="1" applyFill="1" applyBorder="1" applyAlignment="1">
      <alignment horizontal="center" vertical="center" wrapText="1"/>
    </xf>
    <xf numFmtId="0" fontId="41" fillId="0" borderId="69" xfId="51" applyFont="1" applyBorder="1" applyAlignment="1">
      <alignment horizontal="center" vertical="center" wrapText="1"/>
    </xf>
    <xf numFmtId="0" fontId="41" fillId="0" borderId="70" xfId="51" applyFont="1" applyBorder="1" applyAlignment="1">
      <alignment horizontal="center" vertical="center" wrapText="1"/>
    </xf>
    <xf numFmtId="49" fontId="41" fillId="0" borderId="52" xfId="51" applyNumberFormat="1" applyFont="1" applyBorder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2" fontId="41" fillId="0" borderId="86" xfId="51" applyNumberFormat="1" applyFont="1" applyBorder="1" applyAlignment="1">
      <alignment horizontal="center" vertical="center" wrapText="1"/>
    </xf>
    <xf numFmtId="0" fontId="41" fillId="0" borderId="23" xfId="51" applyFont="1" applyBorder="1" applyAlignment="1">
      <alignment horizontal="center" vertical="center" wrapText="1"/>
    </xf>
    <xf numFmtId="0" fontId="41" fillId="0" borderId="40" xfId="51" applyFont="1" applyBorder="1" applyAlignment="1">
      <alignment horizontal="center" vertical="center" wrapText="1"/>
    </xf>
    <xf numFmtId="2" fontId="41" fillId="0" borderId="76" xfId="51" applyNumberFormat="1" applyFont="1" applyBorder="1" applyAlignment="1">
      <alignment horizontal="center" vertical="center" wrapText="1"/>
    </xf>
    <xf numFmtId="2" fontId="41" fillId="0" borderId="77" xfId="51" applyNumberFormat="1" applyFont="1" applyBorder="1" applyAlignment="1">
      <alignment horizontal="center" vertical="center" wrapText="1"/>
    </xf>
    <xf numFmtId="2" fontId="41" fillId="0" borderId="78" xfId="51" applyNumberFormat="1" applyFont="1" applyBorder="1" applyAlignment="1">
      <alignment horizontal="center" vertical="center" wrapText="1"/>
    </xf>
    <xf numFmtId="2" fontId="41" fillId="0" borderId="79" xfId="51" applyNumberFormat="1" applyFont="1" applyBorder="1" applyAlignment="1">
      <alignment horizontal="center" vertical="center" wrapText="1"/>
    </xf>
    <xf numFmtId="0" fontId="41" fillId="0" borderId="18" xfId="51" applyFont="1" applyBorder="1" applyAlignment="1">
      <alignment horizontal="center" vertical="center" wrapText="1"/>
    </xf>
    <xf numFmtId="0" fontId="41" fillId="0" borderId="24" xfId="51" applyFont="1" applyBorder="1" applyAlignment="1">
      <alignment horizontal="center" vertical="center" wrapText="1"/>
    </xf>
    <xf numFmtId="0" fontId="41" fillId="0" borderId="43" xfId="51" applyFont="1" applyBorder="1" applyAlignment="1">
      <alignment horizontal="center" vertical="center" wrapText="1"/>
    </xf>
    <xf numFmtId="0" fontId="41" fillId="0" borderId="19" xfId="51" applyFont="1" applyBorder="1" applyAlignment="1">
      <alignment horizontal="center" vertical="center" wrapText="1"/>
    </xf>
    <xf numFmtId="0" fontId="41" fillId="0" borderId="12" xfId="51" applyFont="1" applyBorder="1" applyAlignment="1">
      <alignment horizontal="center" vertical="center" wrapText="1"/>
    </xf>
    <xf numFmtId="0" fontId="41" fillId="0" borderId="67" xfId="51" applyFont="1" applyBorder="1" applyAlignment="1">
      <alignment horizontal="center" vertical="center" wrapText="1"/>
    </xf>
    <xf numFmtId="2" fontId="41" fillId="0" borderId="20" xfId="51" applyNumberFormat="1" applyFont="1" applyBorder="1" applyAlignment="1">
      <alignment horizontal="center" vertical="center" wrapText="1"/>
    </xf>
    <xf numFmtId="2" fontId="41" fillId="0" borderId="26" xfId="51" applyNumberFormat="1" applyFont="1" applyBorder="1" applyAlignment="1">
      <alignment horizontal="center" vertical="center" wrapText="1"/>
    </xf>
    <xf numFmtId="2" fontId="41" fillId="0" borderId="65" xfId="51" applyNumberFormat="1" applyFont="1" applyBorder="1" applyAlignment="1">
      <alignment horizontal="center" vertical="center" wrapText="1"/>
    </xf>
    <xf numFmtId="0" fontId="41" fillId="0" borderId="48" xfId="51" applyFont="1" applyBorder="1" applyAlignment="1">
      <alignment horizontal="center" vertical="center" wrapText="1"/>
    </xf>
    <xf numFmtId="0" fontId="41" fillId="0" borderId="13" xfId="51" applyFont="1" applyBorder="1" applyAlignment="1">
      <alignment horizontal="center" vertical="center" wrapText="1"/>
    </xf>
    <xf numFmtId="2" fontId="41" fillId="0" borderId="49" xfId="51" applyNumberFormat="1" applyFont="1" applyFill="1" applyBorder="1" applyAlignment="1">
      <alignment horizontal="center" vertical="center" wrapText="1"/>
    </xf>
    <xf numFmtId="2" fontId="41" fillId="0" borderId="26" xfId="51" applyNumberFormat="1" applyFont="1" applyFill="1" applyBorder="1" applyAlignment="1">
      <alignment horizontal="center" vertical="center" wrapText="1"/>
    </xf>
    <xf numFmtId="2" fontId="41" fillId="0" borderId="65" xfId="51" applyNumberFormat="1" applyFont="1" applyFill="1" applyBorder="1" applyAlignment="1">
      <alignment horizontal="center" vertical="center" wrapText="1"/>
    </xf>
    <xf numFmtId="0" fontId="39" fillId="33" borderId="17" xfId="49" applyFont="1" applyFill="1" applyBorder="1" applyAlignment="1"/>
    <xf numFmtId="0" fontId="26" fillId="0" borderId="17" xfId="0" applyFont="1" applyBorder="1" applyAlignment="1"/>
    <xf numFmtId="0" fontId="40" fillId="33" borderId="17" xfId="49" applyFont="1" applyFill="1" applyBorder="1" applyAlignment="1"/>
    <xf numFmtId="0" fontId="0" fillId="0" borderId="17" xfId="0" applyBorder="1" applyAlignment="1"/>
    <xf numFmtId="0" fontId="40" fillId="0" borderId="17" xfId="49" applyFont="1" applyFill="1" applyBorder="1" applyAlignment="1"/>
    <xf numFmtId="0" fontId="0" fillId="0" borderId="17" xfId="0" applyFill="1" applyBorder="1" applyAlignment="1"/>
    <xf numFmtId="0" fontId="39" fillId="33" borderId="0" xfId="49" applyFont="1" applyFill="1" applyAlignment="1">
      <alignment horizontal="center"/>
    </xf>
    <xf numFmtId="0" fontId="40" fillId="0" borderId="17" xfId="49" applyFont="1" applyBorder="1" applyAlignment="1">
      <alignment horizontal="center" vertical="center"/>
    </xf>
    <xf numFmtId="0" fontId="40" fillId="33" borderId="17" xfId="49" applyFont="1" applyFill="1" applyBorder="1" applyAlignment="1">
      <alignment horizontal="center" vertical="center"/>
    </xf>
    <xf numFmtId="3" fontId="40" fillId="0" borderId="17" xfId="49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2" fontId="3" fillId="0" borderId="76" xfId="0" applyNumberFormat="1" applyFont="1" applyBorder="1" applyAlignment="1">
      <alignment horizontal="center" vertical="center" wrapText="1"/>
    </xf>
    <xf numFmtId="2" fontId="3" fillId="0" borderId="77" xfId="0" applyNumberFormat="1" applyFont="1" applyBorder="1" applyAlignment="1">
      <alignment horizontal="center" vertical="center" wrapText="1"/>
    </xf>
    <xf numFmtId="2" fontId="3" fillId="0" borderId="78" xfId="0" applyNumberFormat="1" applyFont="1" applyBorder="1" applyAlignment="1">
      <alignment horizontal="center" vertical="center" wrapText="1"/>
    </xf>
    <xf numFmtId="2" fontId="3" fillId="0" borderId="7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3" fillId="0" borderId="8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65" xfId="0" applyNumberFormat="1" applyFont="1" applyBorder="1" applyAlignment="1">
      <alignment horizontal="center" vertical="center" wrapText="1"/>
    </xf>
    <xf numFmtId="0" fontId="26" fillId="0" borderId="0" xfId="53" applyFont="1" applyAlignment="1">
      <alignment horizontal="center"/>
    </xf>
    <xf numFmtId="0" fontId="19" fillId="0" borderId="17" xfId="53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3" fillId="31" borderId="15" xfId="0" applyNumberFormat="1" applyFont="1" applyFill="1" applyBorder="1" applyAlignment="1">
      <alignment horizontal="center" vertical="center" wrapText="1"/>
    </xf>
    <xf numFmtId="2" fontId="3" fillId="31" borderId="11" xfId="0" applyNumberFormat="1" applyFont="1" applyFill="1" applyBorder="1" applyAlignment="1">
      <alignment horizontal="center" vertical="center" wrapText="1"/>
    </xf>
    <xf numFmtId="2" fontId="3" fillId="31" borderId="50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5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3" fillId="0" borderId="12" xfId="44" applyFont="1" applyBorder="1" applyAlignment="1">
      <alignment horizontal="center" wrapText="1"/>
    </xf>
    <xf numFmtId="0" fontId="9" fillId="0" borderId="0" xfId="44" applyFont="1" applyBorder="1" applyAlignment="1">
      <alignment horizontal="center"/>
    </xf>
    <xf numFmtId="2" fontId="3" fillId="0" borderId="15" xfId="44" applyNumberFormat="1" applyFont="1" applyBorder="1" applyAlignment="1">
      <alignment horizontal="center" vertical="center" wrapText="1"/>
    </xf>
    <xf numFmtId="2" fontId="3" fillId="0" borderId="11" xfId="44" applyNumberFormat="1" applyFont="1" applyBorder="1" applyAlignment="1">
      <alignment horizontal="center" vertical="center" wrapText="1"/>
    </xf>
    <xf numFmtId="2" fontId="3" fillId="0" borderId="50" xfId="44" applyNumberFormat="1" applyFont="1" applyBorder="1" applyAlignment="1">
      <alignment horizontal="center" vertical="center" wrapText="1"/>
    </xf>
    <xf numFmtId="0" fontId="3" fillId="0" borderId="17" xfId="44" applyFont="1" applyBorder="1" applyAlignment="1">
      <alignment horizontal="center" vertical="center" wrapText="1"/>
    </xf>
    <xf numFmtId="0" fontId="3" fillId="0" borderId="11" xfId="44" applyFont="1" applyBorder="1" applyAlignment="1">
      <alignment horizontal="center" vertical="center" wrapText="1"/>
    </xf>
    <xf numFmtId="0" fontId="3" fillId="0" borderId="50" xfId="44" applyFont="1" applyBorder="1" applyAlignment="1">
      <alignment horizontal="center" vertical="center" wrapText="1"/>
    </xf>
    <xf numFmtId="0" fontId="13" fillId="0" borderId="17" xfId="44" applyFont="1" applyBorder="1" applyAlignment="1">
      <alignment horizontal="center" vertical="center"/>
    </xf>
    <xf numFmtId="0" fontId="9" fillId="0" borderId="0" xfId="44" applyFont="1" applyAlignment="1">
      <alignment horizontal="center" wrapText="1"/>
    </xf>
    <xf numFmtId="0" fontId="9" fillId="0" borderId="0" xfId="44" applyFont="1" applyAlignment="1">
      <alignment horizontal="center"/>
    </xf>
    <xf numFmtId="49" fontId="3" fillId="0" borderId="15" xfId="44" applyNumberFormat="1" applyFont="1" applyBorder="1" applyAlignment="1">
      <alignment horizontal="center" vertical="center" wrapText="1"/>
    </xf>
    <xf numFmtId="0" fontId="3" fillId="0" borderId="16" xfId="44" applyFont="1" applyBorder="1" applyAlignment="1">
      <alignment horizontal="center" vertical="center"/>
    </xf>
    <xf numFmtId="0" fontId="3" fillId="0" borderId="58" xfId="44" applyFont="1" applyBorder="1" applyAlignment="1">
      <alignment horizontal="center" vertical="center"/>
    </xf>
    <xf numFmtId="0" fontId="3" fillId="0" borderId="62" xfId="44" applyFont="1" applyBorder="1" applyAlignment="1">
      <alignment horizontal="center" vertical="center"/>
    </xf>
    <xf numFmtId="49" fontId="9" fillId="0" borderId="0" xfId="44" applyNumberFormat="1" applyFont="1" applyAlignment="1">
      <alignment horizontal="center"/>
    </xf>
    <xf numFmtId="2" fontId="16" fillId="0" borderId="15" xfId="44" applyNumberFormat="1" applyBorder="1" applyAlignment="1">
      <alignment horizontal="center" wrapText="1"/>
    </xf>
    <xf numFmtId="2" fontId="16" fillId="0" borderId="11" xfId="44" applyNumberFormat="1" applyBorder="1" applyAlignment="1">
      <alignment horizontal="center" wrapText="1"/>
    </xf>
    <xf numFmtId="2" fontId="16" fillId="0" borderId="50" xfId="44" applyNumberFormat="1" applyBorder="1" applyAlignment="1">
      <alignment horizontal="center" wrapText="1"/>
    </xf>
    <xf numFmtId="0" fontId="16" fillId="0" borderId="11" xfId="44" applyBorder="1" applyAlignment="1">
      <alignment wrapText="1"/>
    </xf>
    <xf numFmtId="0" fontId="16" fillId="0" borderId="11" xfId="44" applyBorder="1" applyAlignment="1">
      <alignment vertical="top" wrapText="1"/>
    </xf>
    <xf numFmtId="2" fontId="16" fillId="0" borderId="15" xfId="44" applyNumberFormat="1" applyBorder="1" applyAlignment="1">
      <alignment horizontal="center" vertical="center" wrapText="1"/>
    </xf>
    <xf numFmtId="0" fontId="16" fillId="0" borderId="11" xfId="44" applyBorder="1" applyAlignment="1">
      <alignment horizontal="center" vertical="center" wrapText="1"/>
    </xf>
    <xf numFmtId="0" fontId="16" fillId="0" borderId="50" xfId="44" applyBorder="1" applyAlignment="1">
      <alignment horizontal="center" vertical="center" wrapText="1"/>
    </xf>
    <xf numFmtId="0" fontId="76" fillId="0" borderId="16" xfId="44" applyFont="1" applyBorder="1" applyAlignment="1">
      <alignment horizontal="center" vertical="center" wrapText="1"/>
    </xf>
    <xf numFmtId="0" fontId="76" fillId="0" borderId="58" xfId="44" applyFont="1" applyBorder="1" applyAlignment="1">
      <alignment horizontal="center" vertical="center" wrapText="1"/>
    </xf>
    <xf numFmtId="0" fontId="76" fillId="0" borderId="62" xfId="44" applyFont="1" applyBorder="1" applyAlignment="1">
      <alignment horizontal="center" vertical="center" wrapText="1"/>
    </xf>
    <xf numFmtId="0" fontId="83" fillId="0" borderId="0" xfId="44" applyFont="1" applyAlignment="1">
      <alignment horizontal="center"/>
    </xf>
    <xf numFmtId="49" fontId="16" fillId="0" borderId="15" xfId="44" applyNumberFormat="1" applyBorder="1" applyAlignment="1">
      <alignment horizontal="center" vertical="center" wrapText="1"/>
    </xf>
    <xf numFmtId="0" fontId="16" fillId="0" borderId="16" xfId="44" applyBorder="1" applyAlignment="1">
      <alignment horizontal="center" vertical="center"/>
    </xf>
    <xf numFmtId="0" fontId="16" fillId="0" borderId="58" xfId="44" applyBorder="1" applyAlignment="1">
      <alignment horizontal="center" vertical="center"/>
    </xf>
    <xf numFmtId="0" fontId="16" fillId="0" borderId="62" xfId="44" applyBorder="1" applyAlignment="1">
      <alignment horizontal="center" vertical="center"/>
    </xf>
    <xf numFmtId="2" fontId="16" fillId="0" borderId="11" xfId="44" applyNumberFormat="1" applyBorder="1" applyAlignment="1">
      <alignment horizontal="center" vertical="center" wrapText="1"/>
    </xf>
    <xf numFmtId="2" fontId="16" fillId="0" borderId="50" xfId="44" applyNumberFormat="1" applyBorder="1" applyAlignment="1">
      <alignment horizontal="center" vertical="center" wrapText="1"/>
    </xf>
    <xf numFmtId="0" fontId="76" fillId="0" borderId="29" xfId="44" applyFont="1" applyBorder="1" applyAlignment="1">
      <alignment horizontal="center"/>
    </xf>
    <xf numFmtId="0" fontId="76" fillId="0" borderId="89" xfId="44" applyFont="1" applyBorder="1" applyAlignment="1">
      <alignment horizontal="center"/>
    </xf>
    <xf numFmtId="0" fontId="28" fillId="0" borderId="12" xfId="52" applyFont="1" applyBorder="1" applyAlignment="1">
      <alignment horizontal="left" vertical="center" wrapText="1"/>
    </xf>
    <xf numFmtId="0" fontId="28" fillId="0" borderId="29" xfId="52" applyFont="1" applyBorder="1" applyAlignment="1">
      <alignment horizontal="left" vertical="center" wrapText="1"/>
    </xf>
    <xf numFmtId="0" fontId="28" fillId="0" borderId="64" xfId="52" applyFont="1" applyBorder="1" applyAlignment="1">
      <alignment horizontal="left" vertical="center" wrapText="1"/>
    </xf>
    <xf numFmtId="0" fontId="26" fillId="0" borderId="0" xfId="52" applyFont="1" applyAlignment="1">
      <alignment horizontal="center" wrapText="1"/>
    </xf>
    <xf numFmtId="0" fontId="19" fillId="0" borderId="0" xfId="52" applyFont="1" applyAlignment="1">
      <alignment wrapText="1"/>
    </xf>
    <xf numFmtId="0" fontId="26" fillId="0" borderId="0" xfId="52" applyFont="1" applyAlignment="1">
      <alignment horizontal="center" vertical="center"/>
    </xf>
    <xf numFmtId="0" fontId="26" fillId="0" borderId="0" xfId="52" applyFont="1" applyAlignment="1">
      <alignment horizontal="center"/>
    </xf>
    <xf numFmtId="0" fontId="19" fillId="0" borderId="63" xfId="52" applyFont="1" applyBorder="1" applyAlignment="1"/>
    <xf numFmtId="0" fontId="26" fillId="0" borderId="17" xfId="52" applyFont="1" applyBorder="1" applyAlignment="1">
      <alignment horizontal="center" vertical="center"/>
    </xf>
    <xf numFmtId="0" fontId="19" fillId="0" borderId="29" xfId="52" applyFont="1" applyBorder="1" applyAlignment="1">
      <alignment horizontal="center" vertical="center" wrapText="1"/>
    </xf>
    <xf numFmtId="0" fontId="19" fillId="0" borderId="64" xfId="52" applyFont="1" applyBorder="1" applyAlignment="1">
      <alignment horizontal="center" vertical="center" wrapText="1"/>
    </xf>
    <xf numFmtId="0" fontId="28" fillId="0" borderId="17" xfId="52" applyFont="1" applyBorder="1" applyAlignment="1">
      <alignment horizontal="left" vertical="center" wrapText="1"/>
    </xf>
    <xf numFmtId="0" fontId="23" fillId="0" borderId="17" xfId="52" applyFont="1" applyBorder="1" applyAlignment="1">
      <alignment horizontal="left" vertical="center" wrapText="1"/>
    </xf>
    <xf numFmtId="0" fontId="35" fillId="0" borderId="0" xfId="52" applyFont="1" applyAlignment="1">
      <alignment horizontal="center"/>
    </xf>
    <xf numFmtId="0" fontId="25" fillId="0" borderId="17" xfId="52" applyFont="1" applyBorder="1" applyAlignment="1">
      <alignment horizontal="center" vertical="center"/>
    </xf>
    <xf numFmtId="0" fontId="24" fillId="0" borderId="63" xfId="52" applyFont="1" applyBorder="1" applyAlignment="1"/>
    <xf numFmtId="0" fontId="24" fillId="0" borderId="29" xfId="52" applyFont="1" applyBorder="1" applyAlignment="1">
      <alignment horizontal="center" vertical="center" wrapText="1"/>
    </xf>
    <xf numFmtId="0" fontId="24" fillId="0" borderId="64" xfId="52" applyFont="1" applyBorder="1" applyAlignment="1">
      <alignment horizontal="center" vertical="center" wrapText="1"/>
    </xf>
    <xf numFmtId="0" fontId="24" fillId="0" borderId="17" xfId="52" applyFont="1" applyBorder="1" applyAlignment="1">
      <alignment horizontal="center" vertical="center" wrapText="1"/>
    </xf>
    <xf numFmtId="0" fontId="25" fillId="0" borderId="0" xfId="52" applyFont="1" applyAlignment="1">
      <alignment horizontal="center"/>
    </xf>
    <xf numFmtId="0" fontId="33" fillId="0" borderId="17" xfId="52" applyFont="1" applyBorder="1" applyAlignment="1">
      <alignment horizontal="center" vertical="center"/>
    </xf>
    <xf numFmtId="0" fontId="22" fillId="0" borderId="17" xfId="52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6">
    <cellStyle name="1Normal" xfId="1"/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ITEM" xfId="20"/>
    <cellStyle name="Norma11l" xfId="21"/>
    <cellStyle name="Normal_MACRO" xfId="22"/>
    <cellStyle name="SECTION" xfId="23"/>
    <cellStyle name="SUBSECTION" xfId="24"/>
    <cellStyle name="SUBTITLES" xfId="25"/>
    <cellStyle name="TITLE_NUMBERATOR" xfId="26"/>
    <cellStyle name="Акцент1" xfId="27" builtinId="29" customBuiltin="1"/>
    <cellStyle name="Акцент2" xfId="28" builtinId="33" customBuiltin="1"/>
    <cellStyle name="Акцент3" xfId="29" builtinId="37" customBuiltin="1"/>
    <cellStyle name="Акцент4" xfId="30" builtinId="41" customBuiltin="1"/>
    <cellStyle name="Акцент5" xfId="31" builtinId="45" customBuiltin="1"/>
    <cellStyle name="Акцент6" xfId="32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40" builtinId="25" customBuiltin="1"/>
    <cellStyle name="Контрольная ячейка" xfId="41" builtinId="23" customBuiltin="1"/>
    <cellStyle name="Название" xfId="42" builtinId="15" customBuiltin="1"/>
    <cellStyle name="Нейтральный" xfId="43" builtinId="28" customBuiltin="1"/>
    <cellStyle name="Обычный" xfId="0" builtinId="0"/>
    <cellStyle name="Обычный 2" xfId="44"/>
    <cellStyle name="Обычный 3" xfId="45"/>
    <cellStyle name="Обычный 4" xfId="46"/>
    <cellStyle name="Обычный 5" xfId="47"/>
    <cellStyle name="Обычный 6" xfId="48"/>
    <cellStyle name="Обычный_Бр  ТО ВДГО Штатное фамилии1" xfId="49"/>
    <cellStyle name="Обычный_ПРЕЙСКУРАНТ цен на ТО ВДГО 2006 13 декабря УТВЕРЖДЕННЫЙ" xfId="50"/>
    <cellStyle name="Обычный_Приложение 3 1 к Прейскуранту ТЭ ВДГО на 2011 год" xfId="51"/>
    <cellStyle name="Обычный_Расчет стоимости 1 кв м общего имущества для физ лиц (ФАС Армадистова)" xfId="52"/>
    <cellStyle name="Обычный_Расчет стоимость 1 кв м ТО ВДГО общего имущества на 2011 год с изменениями 5 и 6 этажным домам" xfId="53"/>
    <cellStyle name="Плохой" xfId="54" builtinId="27" customBuiltin="1"/>
    <cellStyle name="Пояснение" xfId="55" builtinId="53" customBuiltin="1"/>
    <cellStyle name="Примечание" xfId="56" builtinId="10" customBuiltin="1"/>
    <cellStyle name="Процентный" xfId="57" builtinId="5"/>
    <cellStyle name="Процентный 2" xfId="58"/>
    <cellStyle name="Связанная ячейка" xfId="59" builtinId="24" customBuiltin="1"/>
    <cellStyle name="Текст предупреждения" xfId="60" builtinId="11" customBuiltin="1"/>
    <cellStyle name="Тысячи [0]_45.01 август" xfId="61"/>
    <cellStyle name="Тысячи_45.01 август" xfId="62"/>
    <cellStyle name="Финансовый" xfId="63" builtinId="3"/>
    <cellStyle name="Финансовый 2" xfId="64"/>
    <cellStyle name="Хороший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26" Type="http://schemas.openxmlformats.org/officeDocument/2006/relationships/worksheet" Target="worksheets/sheet22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7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sharedStrings" Target="sharedString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21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29" Type="http://schemas.openxmlformats.org/officeDocument/2006/relationships/worksheet" Target="worksheets/sheet25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24" Type="http://schemas.openxmlformats.org/officeDocument/2006/relationships/worksheet" Target="worksheets/sheet20.xml"/><Relationship Id="rId32" Type="http://schemas.openxmlformats.org/officeDocument/2006/relationships/worksheet" Target="worksheets/sheet28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9.xml"/><Relationship Id="rId28" Type="http://schemas.openxmlformats.org/officeDocument/2006/relationships/worksheet" Target="worksheets/sheet24.xml"/><Relationship Id="rId36" Type="http://schemas.openxmlformats.org/officeDocument/2006/relationships/externalLink" Target="externalLinks/externalLink4.xml"/><Relationship Id="rId49" Type="http://schemas.openxmlformats.org/officeDocument/2006/relationships/styles" Target="styles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5.xml"/><Relationship Id="rId31" Type="http://schemas.openxmlformats.org/officeDocument/2006/relationships/worksheet" Target="worksheets/sheet27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0.xml"/><Relationship Id="rId22" Type="http://schemas.openxmlformats.org/officeDocument/2006/relationships/worksheet" Target="worksheets/sheet18.xml"/><Relationship Id="rId27" Type="http://schemas.openxmlformats.org/officeDocument/2006/relationships/worksheet" Target="worksheets/sheet23.xml"/><Relationship Id="rId30" Type="http://schemas.openxmlformats.org/officeDocument/2006/relationships/worksheet" Target="worksheets/sheet26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theme" Target="theme/theme1.xml"/><Relationship Id="rId8" Type="http://schemas.openxmlformats.org/officeDocument/2006/relationships/chartsheet" Target="chartsheets/sheet2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Стоимость технического обслуживания ВДГО, относящегося к общему имуществу многоквартирного дома, в расчете на 1 кв.м. 
Дома с газовой плитой, прибором учета расхода газа </a:t>
            </a:r>
          </a:p>
        </c:rich>
      </c:tx>
      <c:layout>
        <c:manualLayout>
          <c:xMode val="edge"/>
          <c:yMode val="edge"/>
          <c:x val="0.16044776119402984"/>
          <c:y val="1.9801922776650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2537313432836E-2"/>
          <c:y val="0.15983026874115983"/>
          <c:w val="0.91231343283582089"/>
          <c:h val="0.68175388967468176"/>
        </c:manualLayout>
      </c:layout>
      <c:lineChart>
        <c:grouping val="standard"/>
        <c:varyColors val="0"/>
        <c:ser>
          <c:idx val="0"/>
          <c:order val="0"/>
          <c:tx>
            <c:strRef>
              <c:f>стоимость!$C$4</c:f>
              <c:strCache>
                <c:ptCount val="1"/>
                <c:pt idx="0">
                  <c:v>Прейскурант с 15 июня 2012г.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63798334105829E-2"/>
                  <c:y val="2.9604254586801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89318840047318E-2"/>
                  <c:y val="-3.0508846421284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77802347437511E-2"/>
                  <c:y val="-4.2425372314169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9813913244304E-2"/>
                  <c:y val="4.1414835031479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557379945079108E-2"/>
                  <c:y val="3.409509653344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76322250252389E-2"/>
                  <c:y val="-4.4087253617863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63823214362268E-2"/>
                  <c:y val="-3.4221614111238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6490228206102908E-2"/>
                  <c:y val="-3.2913387297725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044991406798605E-2"/>
                  <c:y val="-3.71566687687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стоимость!$B$6:$B$15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стоимость!$C$6:$C$15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стоимость!$D$4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952889893010504E-2"/>
                  <c:y val="3.430734865408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77802347437511E-2"/>
                  <c:y val="3.5332770728523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599631669756479E-2"/>
                  <c:y val="-4.0692641259371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665006519357988E-3"/>
                  <c:y val="-1.7142436450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76322250252389E-2"/>
                  <c:y val="3.062978299018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63823214362268E-2"/>
                  <c:y val="2.5007424954563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221571489684953E-2"/>
                  <c:y val="4.187449906142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77633469038065E-2"/>
                  <c:y val="3.2008859554801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43097014925373134"/>
                  <c:y val="0.838755304101838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стоимость!$D$6:$D$15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77600"/>
        <c:axId val="187187968"/>
      </c:lineChart>
      <c:catAx>
        <c:axId val="18717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Дома</a:t>
                </a:r>
              </a:p>
            </c:rich>
          </c:tx>
          <c:layout>
            <c:manualLayout>
              <c:xMode val="edge"/>
              <c:yMode val="edge"/>
              <c:x val="0.51772388059701491"/>
              <c:y val="0.89533239648160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18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8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1194029850746268E-2"/>
              <c:y val="0.38330976333340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17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42750373692074"/>
          <c:y val="0.954337899543379"/>
          <c:w val="0.45366218236173395"/>
          <c:h val="3.7671232876712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Стоимость технического обслуживания ВДГО, относящегося к общему имуществу многоквартирного жилого дома, в расчете на 1 кв.м. 
Дома с газовой плитой,  проточным водонагревателем, прибором учета расхода газа </a:t>
            </a:r>
          </a:p>
        </c:rich>
      </c:tx>
      <c:layout>
        <c:manualLayout>
          <c:xMode val="edge"/>
          <c:yMode val="edge"/>
          <c:x val="0.15018656716417911"/>
          <c:y val="1.9801922776650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2537313432835E-2"/>
          <c:y val="0.19377652050919378"/>
          <c:w val="0.91417910447761197"/>
          <c:h val="0.65063649222065068"/>
        </c:manualLayout>
      </c:layout>
      <c:lineChart>
        <c:grouping val="standard"/>
        <c:varyColors val="0"/>
        <c:ser>
          <c:idx val="0"/>
          <c:order val="0"/>
          <c:tx>
            <c:strRef>
              <c:f>стоимость!$C$4</c:f>
              <c:strCache>
                <c:ptCount val="1"/>
                <c:pt idx="0">
                  <c:v>Прейскурант с 15 июня 2012г.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-1.648813700267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525365299486708E-3"/>
                  <c:y val="-3.1642777326101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610745485172611E-2"/>
                  <c:y val="-3.467373509004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стоимость!$B$6:$B$15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стоимость!$C$17:$C$21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стоимость!$D$4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2.190335119001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197007090531319E-3"/>
                  <c:y val="3.2612606592492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745073843381533E-2"/>
                  <c:y val="3.4027033749494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стоимость!$D$17:$D$21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6592"/>
        <c:axId val="187416960"/>
      </c:lineChart>
      <c:catAx>
        <c:axId val="18740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Дома</a:t>
                </a:r>
              </a:p>
            </c:rich>
          </c:tx>
          <c:layout>
            <c:manualLayout>
              <c:xMode val="edge"/>
              <c:yMode val="edge"/>
              <c:x val="0.51399253731343286"/>
              <c:y val="0.89957574000133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4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1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0169733740789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40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18535127055302"/>
          <c:y val="0.95776255707762548"/>
          <c:w val="0.45440956651718972"/>
          <c:h val="3.7671232876712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Стоимость технического обслуживания ВДГО, относящегося к общему имуществу многоквартирного дома, в расчете на 1 кв.м. 
Дома с газовой плитой, прибором учета расхода газа </a:t>
            </a:r>
          </a:p>
        </c:rich>
      </c:tx>
      <c:layout>
        <c:manualLayout>
          <c:xMode val="edge"/>
          <c:yMode val="edge"/>
          <c:x val="0.16044776119402984"/>
          <c:y val="1.9801922776650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2537313432836E-2"/>
          <c:y val="0.15983026874115983"/>
          <c:w val="0.91231343283582089"/>
          <c:h val="0.68175388967468176"/>
        </c:manualLayout>
      </c:layout>
      <c:lineChart>
        <c:grouping val="standard"/>
        <c:varyColors val="0"/>
        <c:ser>
          <c:idx val="0"/>
          <c:order val="0"/>
          <c:tx>
            <c:strRef>
              <c:f>'стоимость (с Прейс 2011)'!$C$4</c:f>
              <c:strCache>
                <c:ptCount val="1"/>
                <c:pt idx="0">
                  <c:v>Прейскурант 2011г.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53731343283569E-2"/>
                  <c:y val="2.9420084865629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883084577114455E-2"/>
                  <c:y val="-3.09152940040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67661691542237E-2"/>
                  <c:y val="-4.15437674251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8059701492546E-2"/>
                  <c:y val="4.1907434837972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547263681592094E-2"/>
                  <c:y val="3.4875690043695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66169154228798E-2"/>
                  <c:y val="-4.3685529407833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53731343283569E-2"/>
                  <c:y val="-3.3016813492372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6480099502487633E-2"/>
                  <c:y val="-3.160238633537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034825870646864E-2"/>
                  <c:y val="-3.7098382504167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'стоимость (с Прейс 2011)'!$B$6:$B$15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'стоимость (с Прейс 2011)'!$C$6:$C$15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'стоимость (с Прейс 2011)'!$D$4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942786069651778E-2"/>
                  <c:y val="3.4512022630834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967661691542237E-2"/>
                  <c:y val="3.629011720069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589552238805985E-2"/>
                  <c:y val="-4.0290904231030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766169154228132E-3"/>
                  <c:y val="-1.6811413424807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766169154228798E-2"/>
                  <c:y val="2.9905073746969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53731343283569E-2"/>
                  <c:y val="2.408565265975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211442786069678E-2"/>
                  <c:y val="4.1543767425111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766169154228909E-2"/>
                  <c:y val="3.1481064866891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34141791044776121"/>
                  <c:y val="0.932107496463932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'стоимость (с Прейс 2011)'!$D$6:$D$15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01568"/>
        <c:axId val="187528320"/>
      </c:lineChart>
      <c:catAx>
        <c:axId val="18750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Дома</a:t>
                </a:r>
              </a:p>
            </c:rich>
          </c:tx>
          <c:layout>
            <c:manualLayout>
              <c:xMode val="edge"/>
              <c:yMode val="edge"/>
              <c:x val="0.51772388059701491"/>
              <c:y val="0.89533239648160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52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2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1194029850746268E-2"/>
              <c:y val="0.38330976333340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50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05979073243642"/>
          <c:y val="0.954337899543379"/>
          <c:w val="0.38714499252615836"/>
          <c:h val="3.7671232876712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Стоимость технического обслуживания ВДГО, относящегося к общему имуществу многоквартирного жилого дома, в расчете на 1 кв.м. 
Дома с газовой плитой,  проточным водонагревателем, прибором учета расхода газа </a:t>
            </a:r>
          </a:p>
        </c:rich>
      </c:tx>
      <c:layout>
        <c:manualLayout>
          <c:xMode val="edge"/>
          <c:yMode val="edge"/>
          <c:x val="0.15018656716417911"/>
          <c:y val="1.9801922776650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2537313432835E-2"/>
          <c:y val="0.19377652050919378"/>
          <c:w val="0.91417910447761197"/>
          <c:h val="0.65063649222065068"/>
        </c:manualLayout>
      </c:layout>
      <c:lineChart>
        <c:grouping val="standard"/>
        <c:varyColors val="0"/>
        <c:ser>
          <c:idx val="0"/>
          <c:order val="0"/>
          <c:tx>
            <c:strRef>
              <c:f>'стоимость (с Прейс 2011)'!$C$4</c:f>
              <c:strCache>
                <c:ptCount val="1"/>
                <c:pt idx="0">
                  <c:v>Прейскурант 2011г.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-1.6847349526853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525365299486708E-3"/>
                  <c:y val="-3.2406048253869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610745485172611E-2"/>
                  <c:y val="-3.5392160138398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'стоимость (с Прейс 2011)'!$B$6:$B$15</c:f>
              <c:strCache>
                <c:ptCount val="9"/>
                <c:pt idx="0">
                  <c:v>2-х этажный</c:v>
                </c:pt>
                <c:pt idx="1">
                  <c:v>3-х этажный</c:v>
                </c:pt>
                <c:pt idx="2">
                  <c:v>4-х этажный</c:v>
                </c:pt>
                <c:pt idx="3">
                  <c:v>5-ти этажный</c:v>
                </c:pt>
                <c:pt idx="4">
                  <c:v>6-ти этажный</c:v>
                </c:pt>
                <c:pt idx="5">
                  <c:v>7-ми этажный</c:v>
                </c:pt>
                <c:pt idx="6">
                  <c:v>8-ми этажный</c:v>
                </c:pt>
                <c:pt idx="7">
                  <c:v>9-ти этажный</c:v>
                </c:pt>
                <c:pt idx="8">
                  <c:v>10-ти этажный</c:v>
                </c:pt>
              </c:strCache>
            </c:strRef>
          </c:cat>
          <c:val>
            <c:numRef>
              <c:f>'стоимость (с Прейс 2011)'!$C$17:$C$21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'стоимость (с Прейс 2011)'!$D$4</c:f>
              <c:strCache>
                <c:ptCount val="1"/>
                <c:pt idx="0">
                  <c:v>Прейскурант с 1 июля 2012г.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552160457554809E-4"/>
                  <c:y val="2.118492614165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197007090531319E-3"/>
                  <c:y val="3.2343234323432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745073843381533E-2"/>
                  <c:y val="3.3757661480433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'стоимость (с Прейс 2011)'!$D$17:$D$21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87584"/>
        <c:axId val="187593856"/>
      </c:lineChart>
      <c:catAx>
        <c:axId val="18758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Дома</a:t>
                </a:r>
              </a:p>
            </c:rich>
          </c:tx>
          <c:layout>
            <c:manualLayout>
              <c:xMode val="edge"/>
              <c:yMode val="edge"/>
              <c:x val="0.51399253731343286"/>
              <c:y val="0.89957574000133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5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9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Стоимость, руб. с НДС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0169733740789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58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6502242152464"/>
          <c:y val="0.95776255707762548"/>
          <c:w val="0.38714499252615836"/>
          <c:h val="3.7671232876712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zoomScale="75" workbookViewId="0"/>
  </sheetView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66751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86;&#1088;&#1103;&#1095;&#1077;&#1074;\c\&#1052;&#1086;&#1080;%20&#1076;&#1086;&#1082;&#1091;&#1084;&#1077;&#1085;&#1090;&#1099;\&#1043;&#1086;&#1088;&#1103;&#1095;&#1077;&#1074;\&#1056;&#1072;&#1079;&#1076;&#1077;&#1083;&#1077;&#1085;&#1080;&#1077;%20&#1069;&#1090;&#1072;&#1085;&#1086;&#1083;&#1072;\&#1042;&#1099;&#1076;&#1077;&#1083;&#1077;&#1085;&#1080;&#1077;%20&#1092;&#1077;&#1085;&#1086;&#1083;&#1072;%20&#1080;%20&#1072;&#1094;&#1077;&#1090;&#1086;&#1085;&#1072;%20&#1089;%20&#1072;&#1083;&#1100;&#1092;&#1072;&#1084;&#1077;&#1090;&#1080;&#1083;&#1086;&#108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koeva\&#1052;&#1086;&#1080;%20&#1076;&#1086;&#1082;&#1091;&#1084;&#1077;&#1085;&#1090;&#1099;\&#1042;&#1044;&#1043;&#1054;%202008\&#1057;&#1042;&#1054;&#1044;%20&#1086;%20&#1088;&#1086;&#1089;&#1090;&#1077;%20&#1089;&#1090;&#1086;&#1080;&#1084;&#1086;&#1089;&#1090;&#1080;%20&#1058;&#1054;%20&#1042;&#1044;&#1043;&#1054;%20&#1087;&#1086;%20&#1055;&#1088;&#1077;&#1081;&#1089;&#1082;&#1091;&#1088;&#1072;&#1085;&#1090;&#1091;%20&#1089;%20&#1091;&#1095;&#1077;&#1090;&#1086;&#1084;%20&#1089;&#1085;&#1080;&#1078;&#1077;&#1085;&#1080;&#1103;%20&#1040;&#1054;%20(8%20&#1085;&#1086;&#1103;&#1073;&#1088;&#1103;%20201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2;&#1044;&#1043;&#1054;%202008\&#1057;&#1042;&#1054;&#1044;%20&#1086;%20&#1088;&#1086;&#1089;&#1090;&#1077;%20&#1089;&#1090;&#1086;&#1080;&#1084;&#1086;&#1089;&#1090;&#1080;%20&#1058;&#1054;%20&#1042;&#1044;&#1043;&#1054;%20&#1087;&#1086;%20&#1055;&#1088;&#1077;&#1081;&#1089;&#1082;&#1091;&#1088;&#1072;&#1085;&#1090;&#1091;%20&#1089;%20&#1091;&#1095;&#1077;&#1090;&#1086;&#1084;%20&#1089;&#1085;&#1080;&#1078;&#1077;&#1085;&#1080;&#1103;%20&#1040;&#1054;%20%2024%20&#1084;&#1072;&#1103;%202013%20&#1080;&#1079;&#1084;&#1077;&#1085;&#1077;&#1085;&#1080;&#1103;%20&#1089;&#1090;&#1086;&#1080;&#1084;&#1086;&#1089;&#1090;&#1080;%20&#1087;&#1086;%20&#1087;&#1088;&#1077;&#1081;&#1089;&#1082;%20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2;&#1044;&#1043;&#1054;%202008\&#1057;&#1042;&#1054;&#1044;%20&#1086;%20&#1088;&#1086;&#1089;&#1090;&#1077;%20&#1089;&#1090;&#1086;&#1080;&#1084;&#1086;&#1089;&#1090;&#1080;%20&#1058;&#1054;%20&#1042;&#1044;&#1043;&#1054;%20&#1087;&#1086;%20&#1055;&#1088;&#1077;&#1081;&#1089;&#1082;&#1091;&#1088;&#1072;&#1085;&#1090;&#1091;%20&#1089;%20&#1091;&#1095;&#1077;&#1090;&#1086;&#1084;%20&#1089;&#1085;&#1080;&#1078;&#1077;&#1085;&#1080;&#1103;%20&#1040;&#1054;%20%2024%20&#1084;&#1072;&#1103;%202013%20&#1089;%20&#1088;&#1072;&#1089;&#1094;&#1077;&#1085;&#1082;&#1072;&#1084;&#1080;%20&#1087;&#1086;%20&#1087;&#1088;&#1077;&#1081;&#1089;&#1082;&#1091;&#1088;&#1072;&#1085;&#1090;&#109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2;&#1044;&#1043;&#1054;%202008\&#1058;&#1077;&#1093;&#1086;&#1073;&#1089;&#1083;&#1091;&#1078;&#1080;&#1074;&#1072;&#1085;&#1080;&#1077;%20&#1042;&#1044;&#1043;&#1054;\&#1055;&#1088;&#1077;&#1081;&#1089;&#1082;&#1091;&#1088;&#1072;&#1085;&#1090;%20&#1094;&#1077;&#1085;%20&#1085;&#1072;%20&#1058;&#1054;%20&#1042;&#1044;&#1043;&#1054;%20&#1076;&#1083;&#1103;%20&#1085;&#1072;&#1089;&#1077;&#1083;&#1077;&#1085;&#1080;&#1103;%20196%20&#1053;&#105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77;&#1081;&#1089;&#1082;&#1091;&#1088;&#1072;&#1085;&#1090;%20&#1058;&#1069;%20&#1042;&#1044;&#1043;&#1054;%20&#1085;&#1072;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77;&#1081;&#1089;&#1082;&#1091;&#1088;&#1072;&#1085;&#1090;%20&#1094;&#1077;&#1085;%20&#1085;&#1072;%20&#1058;&#1054;%20&#1042;&#1044;&#1043;&#1054;%20&#1085;&#1072;%202007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8_1\upr_uch\1%20&#1082;&#1074;&#1072;&#1088;&#1090;&#1072;&#1083;\&#1060;&#1086;&#1088;&#1084;&#1099;\BPGIS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denko\&#1084;&#1086;&#1080;%20&#1076;&#1086;&#1082;&#1091;&#1084;&#1077;&#1085;&#1090;\&#1060;&#1086;&#1088;&#1084;&#1099;%20&#1086;&#1090;&#1095;&#1105;&#1090;&#1085;&#1086;&#1089;&#1090;&#1080;\1%20&#1082;&#1074;&#1072;&#1088;&#1090;&#1072;&#1083;%202002%20&#1079;&#1072;&#1090;&#1088;&#1072;&#1090;&#1099;\&#1060;&#1086;&#1088;&#1084;&#1099;\BPGIS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denko\&#1084;&#1086;&#1080;%20&#1076;&#1086;&#1082;&#1091;&#1084;&#1077;&#1085;&#1090;\&#1060;&#1086;&#1088;&#1084;&#1099;%20&#1086;&#1090;&#1095;&#1105;&#1090;&#1085;&#1086;&#1089;&#1090;&#1080;\1%20&#1082;&#1074;&#1072;&#1088;&#1090;&#1072;&#1083;%202002%20&#1079;&#1072;&#1090;&#1088;&#1072;&#1090;&#1099;\&#1060;&#1086;&#1088;&#1084;&#1099;\&#1054;&#1090;&#1095;&#1077;&#1090;%208%20&#1084;&#1077;&#1089;&#1103;&#1094;&#1077;&#1074;\WINDOWS\&#1056;&#1072;&#1073;&#1086;&#1095;&#1080;&#1081;%20&#1089;&#1090;&#1086;&#1083;\&#1069;&#1090;&#1072;&#1085;&#1086;&#1083;\&#1060;&#1086;&#1088;&#1084;&#1099;%20&#1086;&#1090;&#1095;&#1077;&#1090;&#1085;&#1086;&#1089;&#1090;&#1080;%20&#1079;&#1072;%20&#1080;&#1102;&#1083;&#1100;\BPGIS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8_1\upr_uch\1%20&#1082;&#1074;&#1072;&#1088;&#1090;&#1072;&#1083;\&#1060;&#1086;&#1088;&#1084;&#1099;\&#1054;&#1090;&#1095;&#1077;&#1090;%208%20&#1084;&#1077;&#1089;&#1103;&#1094;&#1077;&#1074;\WINDOWS\&#1056;&#1072;&#1073;&#1086;&#1095;&#1080;&#1081;%20&#1089;&#1090;&#1086;&#1083;\&#1069;&#1090;&#1072;&#1085;&#1086;&#1083;\&#1060;&#1086;&#1088;&#1084;&#1099;%20&#1086;&#1090;&#1095;&#1077;&#1090;&#1085;&#1086;&#1089;&#1090;&#1080;%20&#1079;&#1072;%20&#1080;&#1102;&#1083;&#1100;\BPGIS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denko\&#1084;&#1086;&#1080;%20&#1076;&#1086;&#1082;&#1091;&#1084;&#1077;&#1085;&#1090;\&#1060;&#1086;&#1088;&#1084;&#1099;%20&#1086;&#1090;&#1095;&#1105;&#1090;&#1085;&#1086;&#1089;&#1090;&#1080;\1%20&#1082;&#1074;%202002%20&#1076;&#1086;&#1093;&#1086;&#1076;&#1099;\&#1060;&#1086;&#1088;&#1084;&#1099;\&#1054;&#1090;&#1095;&#1077;&#1090;%208%20&#1084;&#1077;&#1089;&#1103;&#1094;&#1077;&#1074;\WINDOWS\&#1056;&#1072;&#1073;&#1086;&#1095;&#1080;&#1081;%20&#1089;&#1090;&#1086;&#1083;\&#1069;&#1090;&#1072;&#1085;&#1086;&#1083;\&#1060;&#1086;&#1088;&#1084;&#1099;%20&#1086;&#1090;&#1095;&#1077;&#1090;&#1085;&#1086;&#1089;&#1090;&#1080;%20&#1079;&#1072;%20&#1080;&#1102;&#1083;&#1100;\BPGIS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koeva\&#1052;&#1086;&#1080;%20&#1076;&#1086;&#1082;&#1091;&#1084;&#1077;&#1085;&#1090;&#1099;\&#1093;&#1088;&#1086;&#1085;&#1086;&#1084;&#1077;&#1090;&#1088;&#1072;&#1078;\&#1093;&#1088;&#1086;&#1085;&#1086;&#1084;&#1077;&#1090;&#1088;&#1072;&#1078;%205%207%209%2010%20&#1088;&#1072;&#1079;&#1076;&#1077;&#1083;&#1086;&#1074;\&#1055;&#1088;&#1077;&#1081;&#1089;&#1082;&#1091;&#1088;&#1072;&#1085;&#1090;%202012\&#1056;&#1072;&#1089;&#1089;&#1099;&#1083;&#1082;&#1072;%20&#1055;&#1088;&#1077;&#1081;&#1089;&#1082;&#1091;&#1088;&#1072;&#1085;&#1090;&#1086;&#1074;\&#1055;&#1088;&#1077;&#1081;&#1089;&#1082;&#1091;&#1088;&#1072;&#1085;&#1090;%20&#1058;&#1069;%20&#1042;&#1044;&#1043;&#1054;%20&#1085;&#1072;%202011%20&#1075;&#1086;&#1076;%20&#1088;&#1072;&#1089;&#1089;&#1099;&#1083;&#1082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koeva\&#1052;&#1086;&#1080;%20&#1076;&#1086;&#1082;&#1091;&#1084;&#1077;&#1085;&#1090;&#1099;\&#1042;&#1044;&#1043;&#1054;%202008\&#1056;&#1072;&#1089;&#1095;&#1077;&#1090;%20&#1089;&#1090;&#1086;&#1080;&#1084;&#1086;&#1089;&#1090;&#1100;%201%20&#1082;&#1074;%20&#1084;%20&#1058;&#1054;%20&#1042;&#1044;&#1043;&#1054;%20&#1086;&#1073;&#1097;&#1077;&#1075;&#1086;%20&#1080;&#1084;&#1091;&#1097;&#1077;&#1089;&#1090;&#1074;&#1072;%20&#1085;&#1072;%202011%20&#1075;&#1086;&#1076;%20&#1089;%20&#1080;&#1079;&#1084;&#1077;&#1085;&#1077;&#1085;&#1080;&#1103;&#1084;&#1080;%205%20&#1080;%206%20&#1101;&#1090;&#1072;&#1078;&#1085;&#1099;&#1084;%20&#1076;&#1086;&#1084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56;&#1045;&#1049;&#1057;&#1050;&#1059;&#1056;&#1040;&#1053;&#1058;%202012\&#1055;&#1088;&#1077;&#1081;&#1089;&#1082;&#1091;&#1088;&#1072;&#1085;&#1090;%20&#1058;&#1069;%20&#1042;&#1044;&#1043;&#1054;%20&#1085;&#1072;%202012%20&#1089;%201%20&#1080;&#1102;&#1083;&#1103;%20(1%25%20&#1088;&#1077;&#1085;&#1090;&#1072;&#1073;&#1077;&#1083;&#1100;&#1085;&#1086;&#1089;&#1090;&#1080;%203%20&#1072;&#1087;&#1088;&#1077;&#1083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AIN"/>
      <sheetName val="ИПБ"/>
      <sheetName val="Фенол"/>
      <sheetName val="LMC"/>
      <sheetName val="Р-197"/>
      <sheetName val="Тосол"/>
      <sheetName val="свод"/>
      <sheetName val="Зарплата"/>
      <sheetName val="Общепроиз.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"/>
      <sheetName val="С2"/>
      <sheetName val="С3"/>
      <sheetName val="С4"/>
      <sheetName val="С5"/>
      <sheetName val="С6"/>
      <sheetName val="Алекс"/>
      <sheetName val="Безен"/>
      <sheetName val="Б.глуш"/>
      <sheetName val="Исаклы"/>
      <sheetName val="Кляв"/>
      <sheetName val="Кошки"/>
      <sheetName val="КрАрм"/>
      <sheetName val="сравнение расценок"/>
      <sheetName val="СВОД инд дома 2011"/>
      <sheetName val="СВОД инд дома 2012"/>
      <sheetName val="СВОД многкв дома 2011"/>
      <sheetName val="СВОД многкв дома 2012"/>
      <sheetName val="СВОД многкв дома (с К) (2)"/>
      <sheetName val="СВОД  2011"/>
      <sheetName val="СВОД  2012"/>
      <sheetName val="СВОДНАЯ по ВСЕМ 4 апреля"/>
      <sheetName val="Лист1"/>
      <sheetName val="СВОД инд дома 2012 (физлица)"/>
      <sheetName val="СВОД многкв дома 2012 (физлица)"/>
      <sheetName val="СВОД  2012 (юрлица)"/>
      <sheetName val="СВОДНАЯ по ВСЕМ 8 ноября"/>
      <sheetName val="СВОДНАЯ по ВСЕМ 8 ноября (2)"/>
      <sheetName val="СВОДНАЯ по ВСЕМ (2)"/>
      <sheetName val="КрЯр1"/>
      <sheetName val="КрЯр2"/>
      <sheetName val="Нефт"/>
      <sheetName val="Ч Верш"/>
      <sheetName val="Шиг"/>
      <sheetName val="Шиг2"/>
      <sheetName val="Шент"/>
      <sheetName val="пестр"/>
      <sheetName val="привол"/>
      <sheetName val="Хвор"/>
      <sheetName val="Волжск"/>
      <sheetName val="Кинель"/>
      <sheetName val="КЧерк 1"/>
      <sheetName val="КЧерк2"/>
      <sheetName val="Новок"/>
      <sheetName val="Отр1"/>
      <sheetName val="Отр2"/>
      <sheetName val="Отр3"/>
      <sheetName val="Похв"/>
      <sheetName val="Серг"/>
      <sheetName val="Тольятти город"/>
      <sheetName val="Толь район"/>
      <sheetName val="Чапаевс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E6">
            <v>9.1999999999999993</v>
          </cell>
        </row>
        <row r="7">
          <cell r="E7">
            <v>10.8</v>
          </cell>
        </row>
        <row r="8">
          <cell r="E8">
            <v>12.2</v>
          </cell>
        </row>
        <row r="9">
          <cell r="E9">
            <v>15.3</v>
          </cell>
        </row>
        <row r="10">
          <cell r="E10">
            <v>5.6</v>
          </cell>
        </row>
        <row r="11">
          <cell r="E11">
            <v>20.9</v>
          </cell>
        </row>
        <row r="12">
          <cell r="E12">
            <v>13.4</v>
          </cell>
        </row>
        <row r="13">
          <cell r="E13">
            <v>27.9</v>
          </cell>
        </row>
        <row r="14">
          <cell r="E14">
            <v>54</v>
          </cell>
        </row>
        <row r="15">
          <cell r="E15">
            <v>82</v>
          </cell>
        </row>
        <row r="16">
          <cell r="E16">
            <v>12.7</v>
          </cell>
        </row>
        <row r="17">
          <cell r="E17">
            <v>11.2</v>
          </cell>
        </row>
        <row r="18">
          <cell r="E18">
            <v>6.7</v>
          </cell>
        </row>
        <row r="20">
          <cell r="E20">
            <v>16.7</v>
          </cell>
        </row>
        <row r="21">
          <cell r="E21">
            <v>11.6</v>
          </cell>
        </row>
        <row r="23">
          <cell r="E23">
            <v>32.5</v>
          </cell>
        </row>
        <row r="25">
          <cell r="E25">
            <v>0.5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"/>
      <sheetName val="С2"/>
      <sheetName val="С3"/>
      <sheetName val="С4"/>
      <sheetName val="С5"/>
      <sheetName val="С6"/>
      <sheetName val="Алекс"/>
      <sheetName val="Безен"/>
      <sheetName val="Б.глуш"/>
      <sheetName val="Исаклы"/>
      <sheetName val="Кляв"/>
      <sheetName val="Кошки"/>
      <sheetName val="КрАрм"/>
      <sheetName val="сравнение расценок"/>
      <sheetName val="СВОД инд дома 2011"/>
      <sheetName val="СВОД инд дома 2012"/>
      <sheetName val="СВОД многкв дома 2011"/>
      <sheetName val="СВОД многкв дома 2012"/>
      <sheetName val="СВОД многкв дома (с К) (2)"/>
      <sheetName val="СВОД  2011"/>
      <sheetName val="СВОД  2012"/>
      <sheetName val="СВОДНАЯ по ВСЕМ 4 апреля"/>
      <sheetName val="Лист1"/>
      <sheetName val="СВОД инд дома (физлица)"/>
      <sheetName val="СВОД инд дома (физлица) (2)"/>
      <sheetName val="СВОД многкв дома  (физлица)"/>
      <sheetName val="СВОД   (юрлица)"/>
      <sheetName val="СВОДНАЯ по ВСЕМ 24 мая"/>
      <sheetName val="СВОДНАЯ по ВСЕМ 8 ноября (2)"/>
      <sheetName val="СВОДНАЯ по ВСЕМ (2)"/>
      <sheetName val="КрЯр1"/>
      <sheetName val="КрЯр2"/>
      <sheetName val="Нефт"/>
      <sheetName val="Ч Верш"/>
      <sheetName val="Шиг"/>
      <sheetName val="Шиг2"/>
      <sheetName val="Шент"/>
      <sheetName val="пестр"/>
      <sheetName val="привол"/>
      <sheetName val="Хвор"/>
      <sheetName val="Волжск"/>
      <sheetName val="Кинель"/>
      <sheetName val="КЧерк 1"/>
      <sheetName val="КЧерк2"/>
      <sheetName val="Новок"/>
      <sheetName val="Отр1"/>
      <sheetName val="Отр2"/>
      <sheetName val="Отр3"/>
      <sheetName val="Похв"/>
      <sheetName val="Серг"/>
      <sheetName val="Тольятти город"/>
      <sheetName val="Толь район"/>
      <sheetName val="Чапаевск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0">
          <cell r="CC20">
            <v>15.2</v>
          </cell>
        </row>
        <row r="21">
          <cell r="CC21">
            <v>10.6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"/>
      <sheetName val="С2"/>
      <sheetName val="С3"/>
      <sheetName val="С4"/>
      <sheetName val="С5"/>
      <sheetName val="С6"/>
      <sheetName val="Алекс"/>
      <sheetName val="Безен"/>
      <sheetName val="Б.глуш"/>
      <sheetName val="Исаклы"/>
      <sheetName val="Кляв"/>
      <sheetName val="Кошки"/>
      <sheetName val="КрАрм"/>
      <sheetName val="сравнение расценок"/>
      <sheetName val="СВОД инд дома 2011"/>
      <sheetName val="СВОД инд дома 2012"/>
      <sheetName val="СВОД многкв дома 2011"/>
      <sheetName val="СВОД многкв дома 2012"/>
      <sheetName val="СВОД многкв дома (с К) (2)"/>
      <sheetName val="СВОД  2011"/>
      <sheetName val="СВОД  2012"/>
      <sheetName val="СВОДНАЯ по ВСЕМ 4 апреля"/>
      <sheetName val="Лист1"/>
      <sheetName val="СВОД инд дома (физлица)"/>
      <sheetName val="СВОД многкв дома  (физлица)"/>
      <sheetName val="СВОД   (юрлица)"/>
      <sheetName val="СВОДНАЯ по ВСЕМ 24 мая"/>
      <sheetName val="СВОДНАЯ по ВСЕМ 8 ноября (2)"/>
      <sheetName val="СВОДНАЯ по ВСЕМ (2)"/>
      <sheetName val="КрЯр1"/>
      <sheetName val="КрЯр2"/>
      <sheetName val="Нефт"/>
      <sheetName val="Ч Верш"/>
      <sheetName val="Шиг"/>
      <sheetName val="Шиг2"/>
      <sheetName val="Шент"/>
      <sheetName val="пестр"/>
      <sheetName val="привол"/>
      <sheetName val="Хвор"/>
      <sheetName val="Волжск"/>
      <sheetName val="Кинель"/>
      <sheetName val="КЧерк 1"/>
      <sheetName val="КЧерк2"/>
      <sheetName val="Новок"/>
      <sheetName val="Отр1"/>
      <sheetName val="Отр2"/>
      <sheetName val="Отр3"/>
      <sheetName val="Похв"/>
      <sheetName val="Серг"/>
      <sheetName val="Тольятти город"/>
      <sheetName val="Толь район"/>
      <sheetName val="Чапаевск"/>
      <sheetName val="физлицо Крут ключи"/>
      <sheetName val="Крут ключи юрлица"/>
      <sheetName val="Физлица (мног. дом) Прилож №3"/>
      <sheetName val="физлицо Крут ключ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0">
          <cell r="CC20">
            <v>17</v>
          </cell>
        </row>
        <row r="25">
          <cell r="CC25">
            <v>0.1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з_п"/>
      <sheetName val="Факт з_п +15%"/>
      <sheetName val="Факт з_п +20%"/>
      <sheetName val="Факт з_п +25% население ТО"/>
      <sheetName val="Факт з_п без переездов 25"/>
      <sheetName val="Факт з_п без переездов 25 (П)"/>
      <sheetName val="Прейскурант 06 апреля06г."/>
      <sheetName val="Сводная таблица 11 апреля"/>
      <sheetName val="Сводная по двум расчетам"/>
      <sheetName val="Прейскурант 06 апреля06г.тр пол"/>
      <sheetName val="17апреля 2006 (П)"/>
      <sheetName val="17апреля 2006 (П) (2)"/>
      <sheetName val="Юрлица 17.04.06 П"/>
      <sheetName val="Юрлица 17.04.06 П (2)"/>
      <sheetName val="Таблица расчета 5-эт дома 4 мая"/>
      <sheetName val="Таблица расчета 5,9-эт 4 мая"/>
      <sheetName val="Юрлица 25.04.06  (накл)"/>
      <sheetName val="Юрлица 25.04.06  (доп зпл) "/>
      <sheetName val="СВГК без задвижки"/>
      <sheetName val="СВГК с задвижкой"/>
      <sheetName val="СВГК с задвижкой, заявками и ав"/>
      <sheetName val="СВГК с задвижкой, заявками  (2)"/>
      <sheetName val="СВГК (2)"/>
      <sheetName val="Расчет дома для ЖЭУ 19.04.06"/>
      <sheetName val="Юрлица 17.04.06 (не округ)"/>
      <sheetName val="Юрлица 14.06.06 окончат"/>
      <sheetName val="Физлица19 апреля 2006"/>
      <sheetName val="Физлица 3 мая 2006 окончат"/>
      <sheetName val="Физлица 5 июня 2006 "/>
      <sheetName val="Физлица 5 июня 2006  (без 1,44)"/>
      <sheetName val="Физлица без переездов 08.06.06"/>
      <sheetName val="Физлица 14 июня 2006 окончат"/>
      <sheetName val="ТО дома в селе"/>
      <sheetName val="Юрлица 5 июня 2006"/>
      <sheetName val="Юрлица 8.06.06 (без переездов)"/>
      <sheetName val="Юрлица 5 июня 2006 (без 1,44)"/>
      <sheetName val="17апреля 2006 не округ"/>
      <sheetName val="Физлица 3 мая 2006 (2)"/>
      <sheetName val="2 июня 2006  только  плита"/>
      <sheetName val="Зарплата"/>
      <sheetName val="Зарплата (2)"/>
      <sheetName val="Физлица 3 мая 2006 (3)"/>
      <sheetName val="Физлица26 апреля 2006 (накл)"/>
      <sheetName val="Физлица26 апреля 2006 (допзп)"/>
      <sheetName val="Сводная таблица 11 апреля (2)"/>
      <sheetName val="Факт з_п +25% (ЖЭУ)"/>
      <sheetName val="Юрлица 07.04.06"/>
      <sheetName val="Расчет дома для ЖЭУ"/>
      <sheetName val="Сводная таблица без переездов"/>
      <sheetName val="Факт з_п без переездов"/>
      <sheetName val="Факт з_п без переездов 15"/>
      <sheetName val="Факт з_п без переездов 20"/>
      <sheetName val="Сводная таблица "/>
      <sheetName val="Общая стоимость ТО"/>
      <sheetName val="Сводная таблица без переезд (2)"/>
      <sheetName val="Затраты ВДГО и АДС"/>
      <sheetName val="Затраты АДС"/>
      <sheetName val="Затраты АДС(отправ-но в минЖКХ)"/>
      <sheetName val="Затраты АДС (3)"/>
      <sheetName val="Зарплата бригад ТО и заявок"/>
      <sheetName val="Зарплата по Самаре"/>
      <sheetName val="Зарплата по Самаре без бриг СМР"/>
      <sheetName val="Материалы 10 %"/>
      <sheetName val="Факт з_п +25% население Рем поЗ"/>
    </sheetNames>
    <sheetDataSet>
      <sheetData sheetId="0" refreshError="1"/>
      <sheetData sheetId="1" refreshError="1"/>
      <sheetData sheetId="2" refreshError="1"/>
      <sheetData sheetId="3">
        <row r="16">
          <cell r="F16">
            <v>41.43</v>
          </cell>
        </row>
        <row r="28">
          <cell r="F28">
            <v>53.44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>
        <row r="101">
          <cell r="T101">
            <v>114</v>
          </cell>
        </row>
        <row r="102">
          <cell r="T102">
            <v>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42">
          <cell r="AL42">
            <v>79.64</v>
          </cell>
        </row>
      </sheetData>
      <sheetData sheetId="61" refreshError="1"/>
      <sheetData sheetId="62" refreshError="1"/>
      <sheetData sheetId="6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лица (инд. дом) Прилож №1"/>
      <sheetName val="Физлица (мног. дом) Прилож№3 у"/>
      <sheetName val="Юрлица Прилож №2"/>
      <sheetName val="Физлица (инд. дом) Прилож № (2)"/>
      <sheetName val="Юрлица Прилож №2 (2)"/>
      <sheetName val="Физлица (мног. дом) Прилож №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P16">
            <v>3.8</v>
          </cell>
        </row>
        <row r="17">
          <cell r="P17">
            <v>4.8</v>
          </cell>
        </row>
        <row r="18">
          <cell r="P18">
            <v>5.7</v>
          </cell>
        </row>
        <row r="19">
          <cell r="P19">
            <v>7.6</v>
          </cell>
        </row>
        <row r="20">
          <cell r="P20">
            <v>3.4</v>
          </cell>
        </row>
        <row r="21">
          <cell r="P21">
            <v>10.6</v>
          </cell>
        </row>
        <row r="22">
          <cell r="P22">
            <v>6.4</v>
          </cell>
        </row>
        <row r="23">
          <cell r="P23">
            <v>14.9</v>
          </cell>
        </row>
        <row r="24">
          <cell r="P24">
            <v>31.1</v>
          </cell>
        </row>
        <row r="25">
          <cell r="P25">
            <v>60.5</v>
          </cell>
        </row>
        <row r="26">
          <cell r="P26">
            <v>6</v>
          </cell>
        </row>
        <row r="27">
          <cell r="P27">
            <v>6.9</v>
          </cell>
        </row>
        <row r="28">
          <cell r="P28">
            <v>4.0999999999999996</v>
          </cell>
        </row>
        <row r="29">
          <cell r="P29">
            <v>2.2999999999999998</v>
          </cell>
        </row>
        <row r="31">
          <cell r="P31">
            <v>9.5</v>
          </cell>
        </row>
        <row r="32">
          <cell r="P32">
            <v>2.7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Приложение № 3"/>
    </sheetNames>
    <sheetDataSet>
      <sheetData sheetId="0" refreshError="1"/>
      <sheetData sheetId="1" refreshError="1"/>
      <sheetData sheetId="2" refreshError="1">
        <row r="11">
          <cell r="F11">
            <v>28.39</v>
          </cell>
        </row>
        <row r="12">
          <cell r="F12">
            <v>28.39</v>
          </cell>
        </row>
        <row r="13">
          <cell r="F13">
            <v>28.39</v>
          </cell>
        </row>
        <row r="14">
          <cell r="F14">
            <v>28.39</v>
          </cell>
        </row>
        <row r="15">
          <cell r="F15">
            <v>28.39</v>
          </cell>
        </row>
        <row r="16">
          <cell r="F16">
            <v>36.623100000000001</v>
          </cell>
        </row>
        <row r="17">
          <cell r="F17">
            <v>28.39</v>
          </cell>
        </row>
        <row r="18">
          <cell r="F18">
            <v>36.623100000000001</v>
          </cell>
        </row>
        <row r="19">
          <cell r="F19">
            <v>36.623100000000001</v>
          </cell>
        </row>
        <row r="20">
          <cell r="F20">
            <v>45.78</v>
          </cell>
        </row>
        <row r="21">
          <cell r="F21">
            <v>28.39</v>
          </cell>
        </row>
        <row r="22">
          <cell r="F22">
            <v>36.623100000000001</v>
          </cell>
        </row>
        <row r="23">
          <cell r="F23">
            <v>36.623100000000001</v>
          </cell>
        </row>
        <row r="24">
          <cell r="F24">
            <v>36.623100000000001</v>
          </cell>
        </row>
        <row r="25">
          <cell r="O25">
            <v>1904.3999999999999</v>
          </cell>
        </row>
        <row r="28">
          <cell r="O28">
            <v>2048.3999999999996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ырье"/>
      <sheetName val="Лист10"/>
      <sheetName val="Диаграмма1"/>
      <sheetName val="Лист16"/>
      <sheetName val="Энергия"/>
      <sheetName val="ФОТ"/>
      <sheetName val="Себестоимость"/>
      <sheetName val="DT"/>
      <sheetName val="Налог на имущество"/>
      <sheetName val="Приложение № 1"/>
      <sheetName val="Лист14"/>
      <sheetName val="Инвестиции в осн.средства"/>
      <sheetName val="Программа выпуска"/>
      <sheetName val="Перечень налогов"/>
      <sheetName val="Лист1"/>
      <sheetName val="Основные средства"/>
      <sheetName val="Самара"/>
      <sheetName val="Тольятти"/>
      <sheetName val="Волжский"/>
      <sheetName val="Новокуйбышевск"/>
      <sheetName val="Отрадное"/>
      <sheetName val="Похвистнево"/>
      <sheetName val="Кинель"/>
      <sheetName val="К.Черкассы"/>
      <sheetName val="Чапаевск"/>
      <sheetName val="Сергиевск"/>
      <sheetName val="РНУ"/>
      <sheetName val="СМУ"/>
      <sheetName val="СТЦ"/>
      <sheetName val="УЗГ"/>
      <sheetName val="УСГ"/>
      <sheetName val="АТУ"/>
      <sheetName val="УПР"/>
      <sheetName val="ГО"/>
      <sheetName val="ОКС"/>
      <sheetName val="ЭТУ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№1"/>
      <sheetName val="Прилож№3"/>
      <sheetName val="Прил 3.1"/>
      <sheetName val=" Прилож№2 "/>
    </sheetNames>
    <sheetDataSet>
      <sheetData sheetId="0"/>
      <sheetData sheetId="1"/>
      <sheetData sheetId="2">
        <row r="19">
          <cell r="J19">
            <v>0.31</v>
          </cell>
        </row>
        <row r="20">
          <cell r="J20">
            <v>0.56000000000000005</v>
          </cell>
        </row>
        <row r="21">
          <cell r="J21">
            <v>0.53</v>
          </cell>
        </row>
        <row r="22">
          <cell r="J22">
            <v>0.4</v>
          </cell>
        </row>
        <row r="23">
          <cell r="J23">
            <v>0.4</v>
          </cell>
        </row>
        <row r="24">
          <cell r="J24">
            <v>0.31</v>
          </cell>
        </row>
        <row r="25">
          <cell r="J25">
            <v>0.27</v>
          </cell>
        </row>
        <row r="26">
          <cell r="J26">
            <v>0.31</v>
          </cell>
        </row>
        <row r="27">
          <cell r="J27">
            <v>0.31</v>
          </cell>
        </row>
        <row r="28">
          <cell r="J28">
            <v>0.3</v>
          </cell>
        </row>
        <row r="31">
          <cell r="J31">
            <v>0.32</v>
          </cell>
        </row>
        <row r="32">
          <cell r="J32">
            <v>0.82</v>
          </cell>
        </row>
        <row r="33">
          <cell r="J33">
            <v>0.53</v>
          </cell>
        </row>
        <row r="34">
          <cell r="J34">
            <v>0.53</v>
          </cell>
        </row>
        <row r="35">
          <cell r="J35">
            <v>0.52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"/>
      <sheetName val="Прил 3.1"/>
      <sheetName val="свод 21 ноября "/>
      <sheetName val="свод  (5)"/>
      <sheetName val="стоимость"/>
      <sheetName val="Площадь подъезда"/>
      <sheetName val="Диаграмма2"/>
      <sheetName val="Диаграмма2 (2)"/>
      <sheetName val="свод  (3)"/>
      <sheetName val="свод  (4)"/>
    </sheetNames>
    <sheetDataSet>
      <sheetData sheetId="0"/>
      <sheetData sheetId="1"/>
      <sheetData sheetId="2">
        <row r="27">
          <cell r="H27">
            <v>1.3001307189542484</v>
          </cell>
          <cell r="AC27">
            <v>1.0807792207792208</v>
          </cell>
        </row>
        <row r="35">
          <cell r="H35">
            <v>0.31</v>
          </cell>
          <cell r="AC35">
            <v>0.32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№1 (инд.дом)"/>
      <sheetName val=" Прилож№2 (юр.лица) "/>
      <sheetName val="Прилож№3 (мног.дом)"/>
      <sheetName val="Прил 3.1 (2 апреля)"/>
      <sheetName val="свод 2 апреля"/>
      <sheetName val="Физлица (инд. дом) "/>
      <sheetName val="Физлица (мног. дом)"/>
      <sheetName val="Юрлица "/>
      <sheetName val="Прил 3.1"/>
      <sheetName val="Физлица (мног. дом) Пункт 15.1"/>
      <sheetName val="стоимость"/>
      <sheetName val="Диаграмма2"/>
      <sheetName val="Диаграмма2 (2)"/>
      <sheetName val="стоимость (с Прейс 2011)"/>
      <sheetName val="Диаграмма2 (3)"/>
      <sheetName val="Диаграмма2 (4)"/>
      <sheetName val="1 этаж (2011)"/>
      <sheetName val="2 этажа (2011)"/>
      <sheetName val="3 этажа (2011)"/>
      <sheetName val="4 этажа (2011)"/>
      <sheetName val="5 этажей  (2011)"/>
      <sheetName val="6 этажей  (2011)"/>
      <sheetName val="7 этажей  (2011)"/>
      <sheetName val="8 этажей  (2011)"/>
      <sheetName val="9 этажей  (2011)"/>
      <sheetName val="10 этажей  (2011)"/>
      <sheetName val="1 этаж (2011 с колонками)"/>
      <sheetName val="2 этажа (2011 с колонками)"/>
      <sheetName val="3 этажа (2011 с колонками)"/>
      <sheetName val="4 этажа (2011с колонками)"/>
      <sheetName val="5 этажей  (2011 с колонками)"/>
      <sheetName val="разница"/>
    </sheetNames>
    <sheetDataSet>
      <sheetData sheetId="0"/>
      <sheetData sheetId="1"/>
      <sheetData sheetId="2"/>
      <sheetData sheetId="3" refreshError="1"/>
      <sheetData sheetId="4" refreshError="1"/>
      <sheetData sheetId="5">
        <row r="15">
          <cell r="P15">
            <v>6.6</v>
          </cell>
        </row>
        <row r="16">
          <cell r="P16">
            <v>7.7</v>
          </cell>
        </row>
        <row r="17">
          <cell r="P17">
            <v>8.6999999999999993</v>
          </cell>
        </row>
        <row r="18">
          <cell r="P18">
            <v>10.9</v>
          </cell>
        </row>
        <row r="19">
          <cell r="P19">
            <v>4</v>
          </cell>
        </row>
        <row r="20">
          <cell r="P20">
            <v>14.9</v>
          </cell>
        </row>
        <row r="21">
          <cell r="P21">
            <v>9.6</v>
          </cell>
        </row>
        <row r="22">
          <cell r="P22">
            <v>19.899999999999999</v>
          </cell>
        </row>
        <row r="23">
          <cell r="P23">
            <v>38.6</v>
          </cell>
        </row>
        <row r="24">
          <cell r="P24">
            <v>58.6</v>
          </cell>
        </row>
        <row r="25">
          <cell r="P25">
            <v>9.1</v>
          </cell>
        </row>
        <row r="26">
          <cell r="P26">
            <v>8</v>
          </cell>
        </row>
        <row r="27">
          <cell r="P27">
            <v>4.8</v>
          </cell>
        </row>
        <row r="28">
          <cell r="P28">
            <v>23.2</v>
          </cell>
        </row>
        <row r="29">
          <cell r="P29">
            <v>8.3000000000000007</v>
          </cell>
        </row>
        <row r="32">
          <cell r="P32">
            <v>11.9</v>
          </cell>
        </row>
        <row r="33">
          <cell r="P33">
            <v>14.9</v>
          </cell>
        </row>
        <row r="34">
          <cell r="P34">
            <v>12.2</v>
          </cell>
        </row>
        <row r="35">
          <cell r="P35">
            <v>5.6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8"/>
  <sheetViews>
    <sheetView showGridLines="0" showZeros="0" tabSelected="1" view="pageBreakPreview" zoomScale="90" zoomScaleNormal="100" zoomScaleSheetLayoutView="90" workbookViewId="0">
      <selection activeCell="B18" sqref="B18"/>
    </sheetView>
  </sheetViews>
  <sheetFormatPr defaultColWidth="9" defaultRowHeight="15.6" x14ac:dyDescent="0.3"/>
  <cols>
    <col min="1" max="1" width="5.19921875" style="244" customWidth="1"/>
    <col min="2" max="2" width="80.8984375" style="26" customWidth="1"/>
    <col min="3" max="3" width="13.59765625" style="26" customWidth="1"/>
    <col min="4" max="9" width="13.8984375" style="26" customWidth="1"/>
    <col min="10" max="16384" width="9" style="26"/>
  </cols>
  <sheetData>
    <row r="1" spans="1:13" ht="18" x14ac:dyDescent="0.35">
      <c r="A1" s="847" t="s">
        <v>201</v>
      </c>
      <c r="B1" s="847"/>
      <c r="C1" s="847"/>
      <c r="D1" s="847"/>
      <c r="E1" s="847"/>
      <c r="F1" s="847"/>
      <c r="G1" s="847"/>
      <c r="H1" s="847"/>
      <c r="I1" s="847"/>
    </row>
    <row r="2" spans="1:13" ht="41.25" customHeight="1" thickBot="1" x14ac:dyDescent="0.4">
      <c r="A2" s="848" t="s">
        <v>202</v>
      </c>
      <c r="B2" s="848"/>
      <c r="C2" s="848"/>
      <c r="D2" s="848"/>
      <c r="E2" s="848"/>
      <c r="F2" s="848"/>
      <c r="G2" s="848"/>
      <c r="H2" s="848"/>
      <c r="I2" s="848"/>
    </row>
    <row r="3" spans="1:13" s="316" customFormat="1" ht="30.75" customHeight="1" x14ac:dyDescent="0.25">
      <c r="A3" s="849" t="s">
        <v>7</v>
      </c>
      <c r="B3" s="852" t="s">
        <v>8</v>
      </c>
      <c r="C3" s="855" t="s">
        <v>9</v>
      </c>
      <c r="D3" s="858" t="s">
        <v>240</v>
      </c>
      <c r="E3" s="859"/>
      <c r="F3" s="860"/>
      <c r="G3" s="861" t="s">
        <v>241</v>
      </c>
      <c r="H3" s="859"/>
      <c r="I3" s="860"/>
    </row>
    <row r="4" spans="1:13" s="316" customFormat="1" ht="13.2" x14ac:dyDescent="0.25">
      <c r="A4" s="850"/>
      <c r="B4" s="853"/>
      <c r="C4" s="856" t="s">
        <v>23</v>
      </c>
      <c r="D4" s="862" t="s">
        <v>28</v>
      </c>
      <c r="E4" s="865" t="s">
        <v>29</v>
      </c>
      <c r="F4" s="868" t="s">
        <v>30</v>
      </c>
      <c r="G4" s="871" t="s">
        <v>28</v>
      </c>
      <c r="H4" s="865" t="s">
        <v>29</v>
      </c>
      <c r="I4" s="868" t="s">
        <v>30</v>
      </c>
    </row>
    <row r="5" spans="1:13" s="316" customFormat="1" ht="13.2" x14ac:dyDescent="0.25">
      <c r="A5" s="850"/>
      <c r="B5" s="853"/>
      <c r="C5" s="856"/>
      <c r="D5" s="863"/>
      <c r="E5" s="866"/>
      <c r="F5" s="869"/>
      <c r="G5" s="872"/>
      <c r="H5" s="866"/>
      <c r="I5" s="869"/>
    </row>
    <row r="6" spans="1:13" s="316" customFormat="1" ht="13.2" x14ac:dyDescent="0.25">
      <c r="A6" s="851"/>
      <c r="B6" s="854"/>
      <c r="C6" s="857"/>
      <c r="D6" s="864"/>
      <c r="E6" s="867"/>
      <c r="F6" s="870"/>
      <c r="G6" s="873"/>
      <c r="H6" s="867"/>
      <c r="I6" s="870"/>
    </row>
    <row r="7" spans="1:13" s="250" customFormat="1" ht="15.75" customHeight="1" x14ac:dyDescent="0.3">
      <c r="A7" s="245" t="s">
        <v>37</v>
      </c>
      <c r="B7" s="249">
        <v>2</v>
      </c>
      <c r="C7" s="246">
        <v>3</v>
      </c>
      <c r="D7" s="247">
        <v>4</v>
      </c>
      <c r="E7" s="248">
        <v>5</v>
      </c>
      <c r="F7" s="249">
        <v>6</v>
      </c>
      <c r="G7" s="247">
        <v>7</v>
      </c>
      <c r="H7" s="248">
        <v>8</v>
      </c>
      <c r="I7" s="249">
        <v>9</v>
      </c>
    </row>
    <row r="8" spans="1:13" ht="17.399999999999999" x14ac:dyDescent="0.35">
      <c r="A8" s="251" t="s">
        <v>37</v>
      </c>
      <c r="B8" s="301" t="s">
        <v>39</v>
      </c>
      <c r="C8" s="252" t="s">
        <v>40</v>
      </c>
      <c r="D8" s="576">
        <v>84.41</v>
      </c>
      <c r="E8" s="577">
        <v>15.19</v>
      </c>
      <c r="F8" s="283">
        <v>99.6</v>
      </c>
      <c r="G8" s="576">
        <v>7.03</v>
      </c>
      <c r="H8" s="577">
        <v>1.27</v>
      </c>
      <c r="I8" s="822">
        <v>8.3000000000000007</v>
      </c>
      <c r="J8" s="823"/>
      <c r="K8" s="812"/>
      <c r="M8" s="811"/>
    </row>
    <row r="9" spans="1:13" ht="17.399999999999999" x14ac:dyDescent="0.35">
      <c r="A9" s="253" t="s">
        <v>43</v>
      </c>
      <c r="B9" s="302" t="s">
        <v>44</v>
      </c>
      <c r="C9" s="254" t="s">
        <v>45</v>
      </c>
      <c r="D9" s="576">
        <v>108.31</v>
      </c>
      <c r="E9" s="577">
        <v>19.489999999999998</v>
      </c>
      <c r="F9" s="283">
        <v>127.8</v>
      </c>
      <c r="G9" s="576">
        <v>9.0299999999999994</v>
      </c>
      <c r="H9" s="577">
        <v>1.62</v>
      </c>
      <c r="I9" s="822">
        <v>10.65</v>
      </c>
      <c r="J9" s="823"/>
      <c r="K9" s="812"/>
    </row>
    <row r="10" spans="1:13" ht="17.399999999999999" x14ac:dyDescent="0.35">
      <c r="A10" s="253" t="s">
        <v>46</v>
      </c>
      <c r="B10" s="302" t="s">
        <v>47</v>
      </c>
      <c r="C10" s="254" t="s">
        <v>45</v>
      </c>
      <c r="D10" s="576">
        <v>127.63</v>
      </c>
      <c r="E10" s="577">
        <v>22.97</v>
      </c>
      <c r="F10" s="283">
        <v>150.6</v>
      </c>
      <c r="G10" s="576">
        <v>10.64</v>
      </c>
      <c r="H10" s="577">
        <v>1.91</v>
      </c>
      <c r="I10" s="822">
        <v>12.55</v>
      </c>
      <c r="J10" s="823"/>
      <c r="K10" s="812"/>
    </row>
    <row r="11" spans="1:13" ht="31.2" x14ac:dyDescent="0.35">
      <c r="A11" s="253" t="s">
        <v>38</v>
      </c>
      <c r="B11" s="303" t="s">
        <v>48</v>
      </c>
      <c r="C11" s="254" t="s">
        <v>40</v>
      </c>
      <c r="D11" s="576">
        <v>172.88</v>
      </c>
      <c r="E11" s="577">
        <v>31.12</v>
      </c>
      <c r="F11" s="283">
        <v>204</v>
      </c>
      <c r="G11" s="576">
        <v>14.41</v>
      </c>
      <c r="H11" s="577">
        <v>2.59</v>
      </c>
      <c r="I11" s="822">
        <v>17</v>
      </c>
      <c r="J11" s="823"/>
      <c r="K11" s="812"/>
    </row>
    <row r="12" spans="1:13" ht="17.399999999999999" x14ac:dyDescent="0.35">
      <c r="A12" s="253" t="s">
        <v>49</v>
      </c>
      <c r="B12" s="302" t="s">
        <v>50</v>
      </c>
      <c r="C12" s="254" t="s">
        <v>45</v>
      </c>
      <c r="D12" s="576">
        <v>84.41</v>
      </c>
      <c r="E12" s="577">
        <v>15.19</v>
      </c>
      <c r="F12" s="283">
        <v>99.6</v>
      </c>
      <c r="G12" s="576">
        <v>7.03</v>
      </c>
      <c r="H12" s="577">
        <v>1.27</v>
      </c>
      <c r="I12" s="822">
        <v>8.3000000000000007</v>
      </c>
      <c r="J12" s="823"/>
      <c r="K12" s="812"/>
    </row>
    <row r="13" spans="1:13" ht="16.5" customHeight="1" x14ac:dyDescent="0.35">
      <c r="A13" s="253" t="s">
        <v>51</v>
      </c>
      <c r="B13" s="303" t="s">
        <v>52</v>
      </c>
      <c r="C13" s="254" t="s">
        <v>53</v>
      </c>
      <c r="D13" s="576">
        <v>256.27</v>
      </c>
      <c r="E13" s="577">
        <v>46.13</v>
      </c>
      <c r="F13" s="283">
        <v>302.39999999999998</v>
      </c>
      <c r="G13" s="576">
        <v>21.36</v>
      </c>
      <c r="H13" s="577">
        <v>3.84</v>
      </c>
      <c r="I13" s="822">
        <v>25.2</v>
      </c>
      <c r="J13" s="823"/>
      <c r="K13" s="812"/>
    </row>
    <row r="14" spans="1:13" ht="17.399999999999999" x14ac:dyDescent="0.35">
      <c r="A14" s="253" t="s">
        <v>55</v>
      </c>
      <c r="B14" s="302" t="s">
        <v>56</v>
      </c>
      <c r="C14" s="254" t="s">
        <v>45</v>
      </c>
      <c r="D14" s="576">
        <v>145.93</v>
      </c>
      <c r="E14" s="577">
        <v>26.27</v>
      </c>
      <c r="F14" s="283">
        <v>172.2</v>
      </c>
      <c r="G14" s="576">
        <v>12.16</v>
      </c>
      <c r="H14" s="577">
        <v>2.19</v>
      </c>
      <c r="I14" s="822">
        <v>14.35</v>
      </c>
      <c r="J14" s="823"/>
      <c r="K14" s="812"/>
    </row>
    <row r="15" spans="1:13" ht="15.75" customHeight="1" x14ac:dyDescent="0.35">
      <c r="A15" s="253" t="s">
        <v>57</v>
      </c>
      <c r="B15" s="303" t="s">
        <v>58</v>
      </c>
      <c r="C15" s="254" t="s">
        <v>45</v>
      </c>
      <c r="D15" s="576">
        <v>246.1</v>
      </c>
      <c r="E15" s="577">
        <v>44.3</v>
      </c>
      <c r="F15" s="283">
        <v>290.39999999999998</v>
      </c>
      <c r="G15" s="576">
        <v>20.51</v>
      </c>
      <c r="H15" s="577">
        <v>3.69</v>
      </c>
      <c r="I15" s="822">
        <v>24.2</v>
      </c>
      <c r="J15" s="823"/>
      <c r="K15" s="812"/>
    </row>
    <row r="16" spans="1:13" ht="15.75" customHeight="1" x14ac:dyDescent="0.35">
      <c r="A16" s="253" t="s">
        <v>59</v>
      </c>
      <c r="B16" s="303" t="s">
        <v>60</v>
      </c>
      <c r="C16" s="254" t="s">
        <v>45</v>
      </c>
      <c r="D16" s="576">
        <v>515.08000000000004</v>
      </c>
      <c r="E16" s="577">
        <v>92.72</v>
      </c>
      <c r="F16" s="283">
        <v>607.79999999999995</v>
      </c>
      <c r="G16" s="576">
        <v>42.92</v>
      </c>
      <c r="H16" s="577">
        <v>7.73</v>
      </c>
      <c r="I16" s="822">
        <v>50.65</v>
      </c>
      <c r="J16" s="823"/>
      <c r="K16" s="812"/>
    </row>
    <row r="17" spans="1:11" ht="31.2" x14ac:dyDescent="0.35">
      <c r="A17" s="253" t="s">
        <v>61</v>
      </c>
      <c r="B17" s="303" t="s">
        <v>62</v>
      </c>
      <c r="C17" s="254" t="s">
        <v>45</v>
      </c>
      <c r="D17" s="576">
        <v>859.32</v>
      </c>
      <c r="E17" s="577">
        <v>154.68</v>
      </c>
      <c r="F17" s="283">
        <v>1014</v>
      </c>
      <c r="G17" s="576">
        <v>71.61</v>
      </c>
      <c r="H17" s="577">
        <v>12.89</v>
      </c>
      <c r="I17" s="822">
        <v>84.5</v>
      </c>
      <c r="J17" s="823"/>
      <c r="K17" s="812"/>
    </row>
    <row r="18" spans="1:11" ht="17.399999999999999" x14ac:dyDescent="0.35">
      <c r="A18" s="253" t="s">
        <v>63</v>
      </c>
      <c r="B18" s="302" t="s">
        <v>64</v>
      </c>
      <c r="C18" s="254" t="s">
        <v>65</v>
      </c>
      <c r="D18" s="576">
        <v>121.02</v>
      </c>
      <c r="E18" s="577">
        <v>21.78</v>
      </c>
      <c r="F18" s="283">
        <v>142.80000000000001</v>
      </c>
      <c r="G18" s="576">
        <v>10.08</v>
      </c>
      <c r="H18" s="577">
        <v>1.82</v>
      </c>
      <c r="I18" s="822">
        <v>11.9</v>
      </c>
      <c r="J18" s="823"/>
      <c r="K18" s="812"/>
    </row>
    <row r="19" spans="1:11" ht="31.2" x14ac:dyDescent="0.35">
      <c r="A19" s="253" t="s">
        <v>66</v>
      </c>
      <c r="B19" s="303" t="s">
        <v>203</v>
      </c>
      <c r="C19" s="271" t="s">
        <v>204</v>
      </c>
      <c r="D19" s="576">
        <v>68.14</v>
      </c>
      <c r="E19" s="577">
        <v>12.26</v>
      </c>
      <c r="F19" s="283">
        <v>80.400000000000006</v>
      </c>
      <c r="G19" s="576">
        <v>5.68</v>
      </c>
      <c r="H19" s="577">
        <v>1.02</v>
      </c>
      <c r="I19" s="822">
        <v>6.7</v>
      </c>
      <c r="J19" s="823"/>
      <c r="K19" s="812"/>
    </row>
    <row r="20" spans="1:11" ht="17.399999999999999" x14ac:dyDescent="0.35">
      <c r="A20" s="253" t="s">
        <v>68</v>
      </c>
      <c r="B20" s="303" t="s">
        <v>231</v>
      </c>
      <c r="C20" s="271" t="s">
        <v>204</v>
      </c>
      <c r="D20" s="576">
        <v>40.68</v>
      </c>
      <c r="E20" s="577">
        <v>7.32</v>
      </c>
      <c r="F20" s="283">
        <v>48</v>
      </c>
      <c r="G20" s="576">
        <v>3.39</v>
      </c>
      <c r="H20" s="577">
        <v>0.61</v>
      </c>
      <c r="I20" s="822">
        <v>4</v>
      </c>
      <c r="J20" s="823"/>
      <c r="K20" s="812"/>
    </row>
    <row r="21" spans="1:11" ht="31.2" x14ac:dyDescent="0.35">
      <c r="A21" s="253" t="s">
        <v>71</v>
      </c>
      <c r="B21" s="303" t="s">
        <v>85</v>
      </c>
      <c r="C21" s="254" t="s">
        <v>86</v>
      </c>
      <c r="D21" s="576">
        <v>343.22</v>
      </c>
      <c r="E21" s="577">
        <v>61.78</v>
      </c>
      <c r="F21" s="283">
        <v>405</v>
      </c>
      <c r="G21" s="576">
        <v>28.6</v>
      </c>
      <c r="H21" s="577">
        <v>5.15</v>
      </c>
      <c r="I21" s="822">
        <v>33.75</v>
      </c>
      <c r="J21" s="823"/>
      <c r="K21" s="812"/>
    </row>
    <row r="22" spans="1:11" ht="31.2" x14ac:dyDescent="0.35">
      <c r="A22" s="253" t="s">
        <v>74</v>
      </c>
      <c r="B22" s="303" t="s">
        <v>1453</v>
      </c>
      <c r="C22" s="254" t="s">
        <v>1454</v>
      </c>
      <c r="D22" s="576">
        <v>211.53</v>
      </c>
      <c r="E22" s="577">
        <v>38.07</v>
      </c>
      <c r="F22" s="283">
        <v>249.6</v>
      </c>
      <c r="G22" s="576">
        <v>17.63</v>
      </c>
      <c r="H22" s="577">
        <v>3.17</v>
      </c>
      <c r="I22" s="822">
        <v>20.8</v>
      </c>
      <c r="J22" s="823"/>
      <c r="K22" s="812"/>
    </row>
    <row r="23" spans="1:11" ht="34.5" customHeight="1" x14ac:dyDescent="0.35">
      <c r="A23" s="253"/>
      <c r="B23" s="303" t="s">
        <v>89</v>
      </c>
      <c r="C23" s="254"/>
      <c r="D23" s="576">
        <v>0</v>
      </c>
      <c r="E23" s="577">
        <v>0</v>
      </c>
      <c r="F23" s="283">
        <v>0</v>
      </c>
      <c r="G23" s="576">
        <v>0</v>
      </c>
      <c r="H23" s="577">
        <v>0</v>
      </c>
      <c r="I23" s="822">
        <v>0</v>
      </c>
      <c r="J23" s="823"/>
      <c r="K23" s="812"/>
    </row>
    <row r="24" spans="1:11" ht="31.2" x14ac:dyDescent="0.35">
      <c r="A24" s="253" t="s">
        <v>76</v>
      </c>
      <c r="B24" s="303" t="s">
        <v>1416</v>
      </c>
      <c r="C24" s="844" t="s">
        <v>91</v>
      </c>
      <c r="D24" s="576">
        <v>0</v>
      </c>
      <c r="E24" s="577">
        <v>0</v>
      </c>
      <c r="F24" s="283">
        <v>0</v>
      </c>
      <c r="G24" s="576">
        <v>0</v>
      </c>
      <c r="H24" s="577">
        <v>0</v>
      </c>
      <c r="I24" s="822">
        <v>0</v>
      </c>
      <c r="J24" s="823"/>
      <c r="K24" s="812"/>
    </row>
    <row r="25" spans="1:11" ht="17.399999999999999" x14ac:dyDescent="0.35">
      <c r="A25" s="253" t="s">
        <v>1451</v>
      </c>
      <c r="B25" s="304" t="s">
        <v>92</v>
      </c>
      <c r="C25" s="844"/>
      <c r="D25" s="576">
        <v>262.37</v>
      </c>
      <c r="E25" s="577">
        <v>47.23</v>
      </c>
      <c r="F25" s="283">
        <v>309.60000000000002</v>
      </c>
      <c r="G25" s="576">
        <v>21.86</v>
      </c>
      <c r="H25" s="577">
        <v>3.94</v>
      </c>
      <c r="I25" s="822">
        <v>25.8</v>
      </c>
      <c r="J25" s="823"/>
      <c r="K25" s="812"/>
    </row>
    <row r="26" spans="1:11" ht="17.399999999999999" x14ac:dyDescent="0.35">
      <c r="A26" s="253" t="s">
        <v>1452</v>
      </c>
      <c r="B26" s="305" t="s">
        <v>93</v>
      </c>
      <c r="C26" s="254" t="s">
        <v>45</v>
      </c>
      <c r="D26" s="576">
        <v>328.98</v>
      </c>
      <c r="E26" s="577">
        <v>59.22</v>
      </c>
      <c r="F26" s="283">
        <v>388.2</v>
      </c>
      <c r="G26" s="576">
        <v>27.42</v>
      </c>
      <c r="H26" s="577">
        <v>4.93</v>
      </c>
      <c r="I26" s="822">
        <v>32.35</v>
      </c>
      <c r="J26" s="823"/>
      <c r="K26" s="812"/>
    </row>
    <row r="27" spans="1:11" ht="17.399999999999999" x14ac:dyDescent="0.35">
      <c r="A27" s="309" t="s">
        <v>94</v>
      </c>
      <c r="B27" s="819" t="s">
        <v>75</v>
      </c>
      <c r="C27" s="820" t="s">
        <v>205</v>
      </c>
      <c r="D27" s="576">
        <v>24.41</v>
      </c>
      <c r="E27" s="577">
        <v>4.3899999999999997</v>
      </c>
      <c r="F27" s="283">
        <v>28.8</v>
      </c>
      <c r="G27" s="576">
        <v>2.0299999999999998</v>
      </c>
      <c r="H27" s="577">
        <v>0.37</v>
      </c>
      <c r="I27" s="822">
        <v>2.4</v>
      </c>
      <c r="J27" s="823"/>
      <c r="K27" s="812"/>
    </row>
    <row r="28" spans="1:11" ht="17.399999999999999" hidden="1" x14ac:dyDescent="0.35">
      <c r="A28" s="253"/>
      <c r="B28" s="821"/>
      <c r="C28" s="254"/>
      <c r="D28" s="576">
        <v>0</v>
      </c>
      <c r="E28" s="577">
        <v>0</v>
      </c>
      <c r="F28" s="283">
        <v>0</v>
      </c>
      <c r="G28" s="576">
        <v>0</v>
      </c>
      <c r="H28" s="577">
        <v>0</v>
      </c>
      <c r="I28" s="822">
        <v>0</v>
      </c>
      <c r="J28" s="823"/>
      <c r="K28" s="812"/>
    </row>
    <row r="29" spans="1:11" ht="17.399999999999999" collapsed="1" x14ac:dyDescent="0.35">
      <c r="A29" s="253" t="s">
        <v>95</v>
      </c>
      <c r="B29" s="821" t="s">
        <v>1468</v>
      </c>
      <c r="C29" s="254" t="s">
        <v>40</v>
      </c>
      <c r="D29" s="576">
        <v>144.41</v>
      </c>
      <c r="E29" s="577">
        <v>25.99</v>
      </c>
      <c r="F29" s="283">
        <v>170.4</v>
      </c>
      <c r="G29" s="576">
        <v>12.03</v>
      </c>
      <c r="H29" s="577">
        <v>2.17</v>
      </c>
      <c r="I29" s="822">
        <v>14.2</v>
      </c>
      <c r="J29" s="823"/>
      <c r="K29" s="812"/>
    </row>
    <row r="30" spans="1:11" ht="17.399999999999999" x14ac:dyDescent="0.35">
      <c r="A30" s="253" t="s">
        <v>1455</v>
      </c>
      <c r="B30" s="821" t="s">
        <v>1465</v>
      </c>
      <c r="C30" s="254"/>
      <c r="D30" s="576">
        <v>0</v>
      </c>
      <c r="E30" s="577">
        <v>0</v>
      </c>
      <c r="F30" s="283">
        <v>0</v>
      </c>
      <c r="G30" s="576">
        <v>0</v>
      </c>
      <c r="H30" s="577">
        <v>0</v>
      </c>
      <c r="I30" s="822">
        <v>0</v>
      </c>
      <c r="J30" s="823"/>
      <c r="K30" s="812"/>
    </row>
    <row r="31" spans="1:11" ht="17.399999999999999" x14ac:dyDescent="0.35">
      <c r="A31" s="253" t="s">
        <v>1457</v>
      </c>
      <c r="B31" s="308" t="s">
        <v>1469</v>
      </c>
      <c r="C31" s="254" t="s">
        <v>40</v>
      </c>
      <c r="D31" s="576">
        <v>28.98</v>
      </c>
      <c r="E31" s="577">
        <v>5.22</v>
      </c>
      <c r="F31" s="283">
        <v>34.200000000000003</v>
      </c>
      <c r="G31" s="576">
        <v>2.42</v>
      </c>
      <c r="H31" s="577">
        <v>0.43</v>
      </c>
      <c r="I31" s="822">
        <v>2.85</v>
      </c>
      <c r="J31" s="823"/>
      <c r="K31" s="812"/>
    </row>
    <row r="32" spans="1:11" ht="17.399999999999999" x14ac:dyDescent="0.35">
      <c r="A32" s="253" t="s">
        <v>1458</v>
      </c>
      <c r="B32" s="308" t="s">
        <v>1470</v>
      </c>
      <c r="C32" s="254" t="s">
        <v>45</v>
      </c>
      <c r="D32" s="576">
        <v>37.119999999999997</v>
      </c>
      <c r="E32" s="577">
        <v>6.68</v>
      </c>
      <c r="F32" s="283">
        <v>43.8</v>
      </c>
      <c r="G32" s="576">
        <v>3.09</v>
      </c>
      <c r="H32" s="577">
        <v>0.56000000000000005</v>
      </c>
      <c r="I32" s="822">
        <v>3.65</v>
      </c>
      <c r="J32" s="823"/>
      <c r="K32" s="812"/>
    </row>
    <row r="33" spans="1:11" ht="17.399999999999999" x14ac:dyDescent="0.35">
      <c r="A33" s="253" t="s">
        <v>1459</v>
      </c>
      <c r="B33" s="308" t="s">
        <v>1471</v>
      </c>
      <c r="C33" s="254" t="s">
        <v>45</v>
      </c>
      <c r="D33" s="576">
        <v>43.73</v>
      </c>
      <c r="E33" s="577">
        <v>7.87</v>
      </c>
      <c r="F33" s="283">
        <v>51.6</v>
      </c>
      <c r="G33" s="576">
        <v>3.64</v>
      </c>
      <c r="H33" s="577">
        <v>0.66</v>
      </c>
      <c r="I33" s="822">
        <v>4.3</v>
      </c>
      <c r="J33" s="823"/>
      <c r="K33" s="812"/>
    </row>
    <row r="34" spans="1:11" ht="17.399999999999999" x14ac:dyDescent="0.35">
      <c r="A34" s="253" t="s">
        <v>1460</v>
      </c>
      <c r="B34" s="308" t="s">
        <v>1472</v>
      </c>
      <c r="C34" s="254" t="s">
        <v>45</v>
      </c>
      <c r="D34" s="576">
        <v>48.81</v>
      </c>
      <c r="E34" s="577">
        <v>8.7899999999999991</v>
      </c>
      <c r="F34" s="283">
        <v>57.6</v>
      </c>
      <c r="G34" s="576">
        <v>4.07</v>
      </c>
      <c r="H34" s="577">
        <v>0.73</v>
      </c>
      <c r="I34" s="822">
        <v>4.8</v>
      </c>
      <c r="J34" s="823"/>
      <c r="K34" s="812"/>
    </row>
    <row r="35" spans="1:11" ht="18" thickBot="1" x14ac:dyDescent="0.4">
      <c r="A35" s="832" t="s">
        <v>1456</v>
      </c>
      <c r="B35" s="833" t="s">
        <v>1466</v>
      </c>
      <c r="C35" s="834" t="s">
        <v>1467</v>
      </c>
      <c r="D35" s="825">
        <v>84.41</v>
      </c>
      <c r="E35" s="826">
        <v>15.19</v>
      </c>
      <c r="F35" s="296">
        <v>99.6</v>
      </c>
      <c r="G35" s="825">
        <v>7.03</v>
      </c>
      <c r="H35" s="826">
        <v>1.27</v>
      </c>
      <c r="I35" s="824">
        <v>8.3000000000000007</v>
      </c>
      <c r="J35" s="823"/>
      <c r="K35" s="812"/>
    </row>
    <row r="36" spans="1:11" s="260" customFormat="1" x14ac:dyDescent="0.3">
      <c r="A36" s="256"/>
      <c r="B36" s="257"/>
      <c r="C36" s="258"/>
      <c r="D36" s="259"/>
    </row>
    <row r="37" spans="1:11" ht="48" customHeight="1" x14ac:dyDescent="0.3">
      <c r="A37" s="845" t="s">
        <v>1475</v>
      </c>
      <c r="B37" s="845"/>
      <c r="C37" s="845"/>
      <c r="D37" s="845"/>
      <c r="E37" s="845"/>
      <c r="F37" s="845"/>
      <c r="G37" s="845"/>
      <c r="H37" s="845"/>
      <c r="I37" s="845"/>
    </row>
    <row r="38" spans="1:11" x14ac:dyDescent="0.3">
      <c r="A38" s="846"/>
      <c r="B38" s="846"/>
      <c r="C38" s="846"/>
      <c r="D38" s="846"/>
      <c r="E38" s="846"/>
      <c r="F38" s="846"/>
      <c r="G38" s="846"/>
      <c r="H38" s="846"/>
      <c r="I38" s="846"/>
    </row>
  </sheetData>
  <sheetProtection selectLockedCells="1" selectUnlockedCells="1"/>
  <mergeCells count="16">
    <mergeCell ref="C24:C25"/>
    <mergeCell ref="A37:I37"/>
    <mergeCell ref="A38:I38"/>
    <mergeCell ref="A1:I1"/>
    <mergeCell ref="A2:I2"/>
    <mergeCell ref="A3:A6"/>
    <mergeCell ref="B3:B6"/>
    <mergeCell ref="C3:C6"/>
    <mergeCell ref="D3:F3"/>
    <mergeCell ref="G3:I3"/>
    <mergeCell ref="D4:D6"/>
    <mergeCell ref="E4:E6"/>
    <mergeCell ref="F4:F6"/>
    <mergeCell ref="G4:G6"/>
    <mergeCell ref="H4:H6"/>
    <mergeCell ref="I4:I6"/>
  </mergeCells>
  <printOptions horizontalCentered="1"/>
  <pageMargins left="0" right="0" top="0.19685039370078741" bottom="0.19685039370078741" header="0.51181102362204722" footer="0"/>
  <pageSetup paperSize="9" scale="74" orientation="landscape" blackAndWhite="1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Zeros="0" view="pageBreakPreview" zoomScale="75" zoomScaleNormal="100" zoomScaleSheetLayoutView="75" workbookViewId="0">
      <selection activeCell="G29" sqref="G29"/>
    </sheetView>
  </sheetViews>
  <sheetFormatPr defaultColWidth="9" defaultRowHeight="15.6" outlineLevelCol="1" x14ac:dyDescent="0.3"/>
  <cols>
    <col min="1" max="1" width="5.19921875" style="585" customWidth="1"/>
    <col min="2" max="2" width="80.8984375" style="586" customWidth="1"/>
    <col min="3" max="3" width="11.5" style="586" customWidth="1"/>
    <col min="4" max="4" width="12.69921875" style="586" customWidth="1"/>
    <col min="5" max="5" width="10.59765625" style="586" hidden="1" customWidth="1" outlineLevel="1"/>
    <col min="6" max="6" width="9" style="586" customWidth="1" collapsed="1"/>
    <col min="7" max="7" width="8.3984375" style="586" customWidth="1"/>
    <col min="8" max="8" width="10.19921875" style="586" customWidth="1"/>
    <col min="9" max="9" width="0" style="586" hidden="1" customWidth="1" outlineLevel="1"/>
    <col min="10" max="10" width="9.09765625" style="586" hidden="1" customWidth="1" outlineLevel="1"/>
    <col min="11" max="11" width="9.8984375" style="586" hidden="1" customWidth="1" outlineLevel="1"/>
    <col min="12" max="12" width="13.3984375" style="586" customWidth="1" collapsed="1"/>
    <col min="13" max="14" width="9.19921875" style="586" hidden="1" customWidth="1" outlineLevel="1"/>
    <col min="15" max="15" width="12.3984375" style="586" customWidth="1" collapsed="1"/>
    <col min="16" max="16" width="15" style="586" customWidth="1"/>
    <col min="17" max="17" width="11.19921875" style="586" hidden="1" customWidth="1" outlineLevel="1"/>
    <col min="18" max="20" width="0" style="588" hidden="1" customWidth="1" outlineLevel="1"/>
    <col min="21" max="21" width="0" style="586" hidden="1" customWidth="1" outlineLevel="1"/>
    <col min="22" max="22" width="15.3984375" style="586" customWidth="1" collapsed="1"/>
    <col min="23" max="24" width="15.3984375" style="586" customWidth="1"/>
    <col min="25" max="16384" width="9" style="586"/>
  </cols>
  <sheetData>
    <row r="1" spans="1:24" ht="4.5" customHeight="1" x14ac:dyDescent="0.3">
      <c r="Q1" s="587"/>
    </row>
    <row r="2" spans="1:24" ht="15" customHeight="1" x14ac:dyDescent="0.3">
      <c r="A2" s="987" t="s">
        <v>4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589"/>
    </row>
    <row r="3" spans="1:24" ht="15" customHeight="1" x14ac:dyDescent="0.3">
      <c r="A3" s="988" t="s">
        <v>81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589"/>
    </row>
    <row r="4" spans="1:24" hidden="1" x14ac:dyDescent="0.3">
      <c r="A4" s="590"/>
      <c r="D4" s="591"/>
      <c r="E4" s="591"/>
      <c r="F4" s="592"/>
      <c r="G4" s="592"/>
    </row>
    <row r="5" spans="1:24" hidden="1" x14ac:dyDescent="0.3">
      <c r="A5" s="590"/>
      <c r="D5" s="591"/>
      <c r="E5" s="591"/>
      <c r="F5" s="592"/>
      <c r="G5" s="592"/>
    </row>
    <row r="6" spans="1:24" ht="12.75" hidden="1" customHeight="1" x14ac:dyDescent="0.3">
      <c r="A6" s="590"/>
      <c r="D6" s="591"/>
      <c r="E6" s="591"/>
      <c r="F6" s="592"/>
      <c r="G6" s="592"/>
    </row>
    <row r="7" spans="1:24" ht="12" hidden="1" customHeight="1" x14ac:dyDescent="0.3">
      <c r="A7" s="593" t="s">
        <v>1419</v>
      </c>
      <c r="B7" s="594"/>
      <c r="C7" s="594"/>
      <c r="D7" s="595"/>
      <c r="E7" s="595"/>
      <c r="F7" s="596"/>
      <c r="G7" s="596"/>
      <c r="H7" s="594"/>
      <c r="I7" s="594"/>
      <c r="J7" s="594"/>
      <c r="K7" s="594"/>
      <c r="L7" s="594"/>
      <c r="M7" s="594"/>
      <c r="N7" s="594"/>
      <c r="O7" s="594"/>
      <c r="P7" s="594"/>
      <c r="Q7" s="594"/>
    </row>
    <row r="8" spans="1:24" ht="12.75" hidden="1" customHeight="1" x14ac:dyDescent="0.3">
      <c r="A8" s="589"/>
      <c r="B8" s="597"/>
      <c r="C8" s="594"/>
      <c r="D8" s="595"/>
      <c r="E8" s="595"/>
      <c r="F8" s="596"/>
      <c r="G8" s="596"/>
      <c r="H8" s="594"/>
      <c r="I8" s="594"/>
      <c r="J8" s="594"/>
      <c r="K8" s="594"/>
      <c r="L8" s="597"/>
      <c r="M8" s="594"/>
      <c r="N8" s="594"/>
      <c r="O8" s="594"/>
      <c r="P8" s="594"/>
      <c r="Q8" s="594"/>
    </row>
    <row r="9" spans="1:24" ht="12.75" hidden="1" customHeight="1" x14ac:dyDescent="0.3">
      <c r="A9" s="590"/>
      <c r="B9" s="594"/>
      <c r="C9" s="594"/>
      <c r="D9" s="595"/>
      <c r="E9" s="595"/>
      <c r="F9" s="596"/>
      <c r="G9" s="596"/>
      <c r="H9" s="594"/>
      <c r="I9" s="594"/>
      <c r="J9" s="594"/>
      <c r="K9" s="594"/>
      <c r="L9" s="594"/>
      <c r="M9" s="594"/>
      <c r="N9" s="594"/>
      <c r="O9" s="594"/>
      <c r="P9" s="594"/>
      <c r="Q9" s="594"/>
    </row>
    <row r="10" spans="1:24" s="603" customFormat="1" ht="15.75" hidden="1" customHeight="1" x14ac:dyDescent="0.3">
      <c r="A10" s="598" t="s">
        <v>272</v>
      </c>
      <c r="B10" s="599"/>
      <c r="C10" s="599"/>
      <c r="D10" s="600"/>
      <c r="E10" s="600"/>
      <c r="F10" s="601"/>
      <c r="G10" s="601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602"/>
      <c r="S10" s="602"/>
      <c r="T10" s="602"/>
    </row>
    <row r="11" spans="1:24" ht="9" customHeight="1" x14ac:dyDescent="0.3">
      <c r="A11" s="604"/>
      <c r="B11" s="605"/>
      <c r="C11" s="605"/>
      <c r="D11" s="606"/>
      <c r="E11" s="606"/>
      <c r="F11" s="607"/>
      <c r="G11" s="608"/>
    </row>
    <row r="12" spans="1:24" ht="12.75" customHeight="1" x14ac:dyDescent="0.3">
      <c r="A12" s="989" t="s">
        <v>7</v>
      </c>
      <c r="B12" s="990" t="s">
        <v>8</v>
      </c>
      <c r="C12" s="980" t="s">
        <v>9</v>
      </c>
      <c r="D12" s="980" t="s">
        <v>10</v>
      </c>
      <c r="E12" s="980" t="s">
        <v>82</v>
      </c>
      <c r="F12" s="980" t="s">
        <v>11</v>
      </c>
      <c r="G12" s="980" t="s">
        <v>12</v>
      </c>
      <c r="H12" s="980" t="s">
        <v>13</v>
      </c>
      <c r="I12" s="980" t="s">
        <v>14</v>
      </c>
      <c r="J12" s="980" t="s">
        <v>15</v>
      </c>
      <c r="K12" s="980" t="s">
        <v>16</v>
      </c>
      <c r="L12" s="980" t="s">
        <v>17</v>
      </c>
      <c r="M12" s="980" t="s">
        <v>18</v>
      </c>
      <c r="N12" s="980" t="s">
        <v>19</v>
      </c>
      <c r="O12" s="980" t="s">
        <v>83</v>
      </c>
      <c r="P12" s="980" t="s">
        <v>96</v>
      </c>
      <c r="Q12" s="980" t="s">
        <v>20</v>
      </c>
      <c r="R12" s="986" t="s">
        <v>22</v>
      </c>
      <c r="S12" s="986"/>
      <c r="T12" s="986"/>
      <c r="U12" s="986"/>
      <c r="V12" s="983" t="s">
        <v>1420</v>
      </c>
      <c r="W12" s="983" t="s">
        <v>1421</v>
      </c>
      <c r="X12" s="983" t="s">
        <v>1422</v>
      </c>
    </row>
    <row r="13" spans="1:24" ht="12.75" customHeight="1" x14ac:dyDescent="0.3">
      <c r="A13" s="984"/>
      <c r="B13" s="991"/>
      <c r="C13" s="984" t="s">
        <v>23</v>
      </c>
      <c r="D13" s="984" t="s">
        <v>24</v>
      </c>
      <c r="E13" s="984" t="s">
        <v>24</v>
      </c>
      <c r="F13" s="984" t="s">
        <v>25</v>
      </c>
      <c r="G13" s="984" t="s">
        <v>26</v>
      </c>
      <c r="H13" s="984" t="s">
        <v>27</v>
      </c>
      <c r="I13" s="984"/>
      <c r="J13" s="984"/>
      <c r="K13" s="984"/>
      <c r="L13" s="984"/>
      <c r="M13" s="984"/>
      <c r="N13" s="984"/>
      <c r="O13" s="981"/>
      <c r="P13" s="981"/>
      <c r="Q13" s="981"/>
      <c r="R13" s="986"/>
      <c r="S13" s="986"/>
      <c r="T13" s="986"/>
      <c r="U13" s="986"/>
      <c r="V13" s="983"/>
      <c r="W13" s="983"/>
      <c r="X13" s="983"/>
    </row>
    <row r="14" spans="1:24" x14ac:dyDescent="0.3">
      <c r="A14" s="984"/>
      <c r="B14" s="991"/>
      <c r="C14" s="984"/>
      <c r="D14" s="984" t="s">
        <v>31</v>
      </c>
      <c r="E14" s="984" t="s">
        <v>31</v>
      </c>
      <c r="F14" s="984" t="s">
        <v>32</v>
      </c>
      <c r="G14" s="984" t="s">
        <v>33</v>
      </c>
      <c r="H14" s="984" t="s">
        <v>34</v>
      </c>
      <c r="I14" s="984"/>
      <c r="J14" s="984"/>
      <c r="K14" s="984"/>
      <c r="L14" s="984"/>
      <c r="M14" s="984"/>
      <c r="N14" s="984"/>
      <c r="O14" s="981"/>
      <c r="P14" s="981"/>
      <c r="Q14" s="981"/>
      <c r="R14" s="986"/>
      <c r="S14" s="986"/>
      <c r="T14" s="986"/>
      <c r="U14" s="986"/>
      <c r="V14" s="983"/>
      <c r="W14" s="983"/>
      <c r="X14" s="983"/>
    </row>
    <row r="15" spans="1:24" ht="63" customHeight="1" x14ac:dyDescent="0.3">
      <c r="A15" s="985"/>
      <c r="B15" s="992"/>
      <c r="C15" s="985"/>
      <c r="D15" s="985" t="s">
        <v>35</v>
      </c>
      <c r="E15" s="985" t="s">
        <v>35</v>
      </c>
      <c r="F15" s="985"/>
      <c r="G15" s="985" t="s">
        <v>36</v>
      </c>
      <c r="H15" s="985" t="s">
        <v>32</v>
      </c>
      <c r="I15" s="985"/>
      <c r="J15" s="985"/>
      <c r="K15" s="985"/>
      <c r="L15" s="985"/>
      <c r="M15" s="985"/>
      <c r="N15" s="985"/>
      <c r="O15" s="982"/>
      <c r="P15" s="982"/>
      <c r="Q15" s="982"/>
      <c r="R15" s="986"/>
      <c r="S15" s="986"/>
      <c r="T15" s="986"/>
      <c r="U15" s="986"/>
      <c r="V15" s="983"/>
      <c r="W15" s="983"/>
      <c r="X15" s="983"/>
    </row>
    <row r="16" spans="1:24" s="615" customFormat="1" ht="15.75" customHeight="1" x14ac:dyDescent="0.3">
      <c r="A16" s="609" t="s">
        <v>37</v>
      </c>
      <c r="B16" s="610">
        <v>2</v>
      </c>
      <c r="C16" s="611">
        <v>3</v>
      </c>
      <c r="D16" s="609" t="s">
        <v>38</v>
      </c>
      <c r="E16" s="609" t="s">
        <v>38</v>
      </c>
      <c r="F16" s="612">
        <v>5</v>
      </c>
      <c r="G16" s="611">
        <v>6</v>
      </c>
      <c r="H16" s="612">
        <v>7</v>
      </c>
      <c r="I16" s="612">
        <v>12</v>
      </c>
      <c r="J16" s="612">
        <v>13</v>
      </c>
      <c r="K16" s="612">
        <v>14</v>
      </c>
      <c r="L16" s="612">
        <v>8</v>
      </c>
      <c r="M16" s="612">
        <v>16</v>
      </c>
      <c r="N16" s="612">
        <v>17</v>
      </c>
      <c r="O16" s="613">
        <v>9</v>
      </c>
      <c r="P16" s="612">
        <v>10</v>
      </c>
      <c r="Q16" s="612"/>
      <c r="R16" s="614"/>
      <c r="S16" s="614"/>
      <c r="T16" s="614"/>
      <c r="V16" s="611">
        <v>11</v>
      </c>
      <c r="W16" s="611">
        <v>12</v>
      </c>
      <c r="X16" s="611">
        <v>13</v>
      </c>
    </row>
    <row r="17" spans="1:24" x14ac:dyDescent="0.3">
      <c r="A17" s="616" t="s">
        <v>37</v>
      </c>
      <c r="B17" s="617" t="s">
        <v>39</v>
      </c>
      <c r="C17" s="618" t="s">
        <v>40</v>
      </c>
      <c r="D17" s="619" t="s">
        <v>41</v>
      </c>
      <c r="E17" s="619" t="s">
        <v>42</v>
      </c>
      <c r="F17" s="620">
        <f>F19</f>
        <v>28.39</v>
      </c>
      <c r="G17" s="621">
        <v>0.53</v>
      </c>
      <c r="H17" s="622">
        <f t="shared" ref="H17:H35" si="0">F17*G17</f>
        <v>15.05</v>
      </c>
      <c r="I17" s="622">
        <f t="shared" ref="I17:I32" si="1">H17*10%</f>
        <v>1.51</v>
      </c>
      <c r="J17" s="622">
        <f t="shared" ref="J17:J32" si="2">H17*26.3%</f>
        <v>3.96</v>
      </c>
      <c r="K17" s="622">
        <f t="shared" ref="K17:K32" si="3">H17*196.2%</f>
        <v>29.53</v>
      </c>
      <c r="L17" s="622">
        <f t="shared" ref="L17:L35" si="4">SUM(H17:K17)</f>
        <v>50.05</v>
      </c>
      <c r="M17" s="622">
        <f t="shared" ref="M17:M35" si="5">L17*10%</f>
        <v>5.01</v>
      </c>
      <c r="N17" s="622">
        <f t="shared" ref="N17:N35" si="6">(L17+M17)*18%</f>
        <v>9.91</v>
      </c>
      <c r="O17" s="622">
        <f t="shared" ref="O17:O37" si="7">P17*12</f>
        <v>64.8</v>
      </c>
      <c r="P17" s="622">
        <f t="shared" ref="P17:P35" si="8">S17</f>
        <v>5.4</v>
      </c>
      <c r="Q17" s="622">
        <f t="shared" ref="Q17:Q35" si="9">L17+M17+N17</f>
        <v>64.97</v>
      </c>
      <c r="R17" s="623"/>
      <c r="S17" s="624">
        <f>ROUNDDOWN(Q17/12,1)</f>
        <v>5.4</v>
      </c>
      <c r="T17" s="624">
        <f t="shared" ref="T17:T35" si="10">S17*12</f>
        <v>64.8</v>
      </c>
      <c r="U17" s="625"/>
      <c r="V17" s="618">
        <f t="shared" ref="V17:V37" si="11">P17*0.8</f>
        <v>4.32</v>
      </c>
      <c r="W17" s="618">
        <f t="shared" ref="W17:W37" si="12">P17*0.7</f>
        <v>3.78</v>
      </c>
      <c r="X17" s="618">
        <f t="shared" ref="X17:X37" si="13">P17*0.6</f>
        <v>3.24</v>
      </c>
    </row>
    <row r="18" spans="1:24" x14ac:dyDescent="0.3">
      <c r="A18" s="626" t="s">
        <v>43</v>
      </c>
      <c r="B18" s="627" t="s">
        <v>44</v>
      </c>
      <c r="C18" s="628" t="s">
        <v>45</v>
      </c>
      <c r="D18" s="629" t="s">
        <v>41</v>
      </c>
      <c r="E18" s="629" t="s">
        <v>42</v>
      </c>
      <c r="F18" s="630">
        <f>$F$17</f>
        <v>28.39</v>
      </c>
      <c r="G18" s="630">
        <v>0.62</v>
      </c>
      <c r="H18" s="631">
        <f t="shared" si="0"/>
        <v>17.600000000000001</v>
      </c>
      <c r="I18" s="631">
        <f t="shared" si="1"/>
        <v>1.76</v>
      </c>
      <c r="J18" s="631">
        <f t="shared" si="2"/>
        <v>4.63</v>
      </c>
      <c r="K18" s="631">
        <f t="shared" si="3"/>
        <v>34.53</v>
      </c>
      <c r="L18" s="631">
        <f t="shared" si="4"/>
        <v>58.52</v>
      </c>
      <c r="M18" s="631">
        <f t="shared" si="5"/>
        <v>5.85</v>
      </c>
      <c r="N18" s="631">
        <f t="shared" si="6"/>
        <v>11.59</v>
      </c>
      <c r="O18" s="631">
        <f t="shared" si="7"/>
        <v>75.599999999999994</v>
      </c>
      <c r="P18" s="631">
        <f t="shared" si="8"/>
        <v>6.3</v>
      </c>
      <c r="Q18" s="631">
        <f t="shared" si="9"/>
        <v>75.959999999999994</v>
      </c>
      <c r="R18" s="632"/>
      <c r="S18" s="633">
        <f t="shared" ref="S18:S35" si="14">ROUNDDOWN(Q18/12,1)</f>
        <v>6.3</v>
      </c>
      <c r="T18" s="633">
        <f t="shared" si="10"/>
        <v>75.599999999999994</v>
      </c>
      <c r="U18" s="634"/>
      <c r="V18" s="628">
        <f t="shared" si="11"/>
        <v>5.04</v>
      </c>
      <c r="W18" s="628">
        <f t="shared" si="12"/>
        <v>4.41</v>
      </c>
      <c r="X18" s="628">
        <f t="shared" si="13"/>
        <v>3.78</v>
      </c>
    </row>
    <row r="19" spans="1:24" s="592" customFormat="1" x14ac:dyDescent="0.3">
      <c r="A19" s="635" t="s">
        <v>46</v>
      </c>
      <c r="B19" s="636" t="s">
        <v>47</v>
      </c>
      <c r="C19" s="637" t="s">
        <v>45</v>
      </c>
      <c r="D19" s="629" t="s">
        <v>41</v>
      </c>
      <c r="E19" s="638" t="s">
        <v>42</v>
      </c>
      <c r="F19" s="639">
        <v>28.39</v>
      </c>
      <c r="G19" s="630">
        <v>0.7</v>
      </c>
      <c r="H19" s="640">
        <f t="shared" si="0"/>
        <v>19.87</v>
      </c>
      <c r="I19" s="640">
        <f t="shared" si="1"/>
        <v>1.99</v>
      </c>
      <c r="J19" s="640">
        <f t="shared" si="2"/>
        <v>5.23</v>
      </c>
      <c r="K19" s="640">
        <f t="shared" si="3"/>
        <v>38.979999999999997</v>
      </c>
      <c r="L19" s="631">
        <f t="shared" si="4"/>
        <v>66.069999999999993</v>
      </c>
      <c r="M19" s="631">
        <f t="shared" si="5"/>
        <v>6.61</v>
      </c>
      <c r="N19" s="631">
        <f t="shared" si="6"/>
        <v>13.08</v>
      </c>
      <c r="O19" s="631">
        <f t="shared" si="7"/>
        <v>85.2</v>
      </c>
      <c r="P19" s="631">
        <f t="shared" si="8"/>
        <v>7.1</v>
      </c>
      <c r="Q19" s="631">
        <f t="shared" si="9"/>
        <v>85.76</v>
      </c>
      <c r="R19" s="641">
        <f>F19*165</f>
        <v>4684</v>
      </c>
      <c r="S19" s="633">
        <f t="shared" si="14"/>
        <v>7.1</v>
      </c>
      <c r="T19" s="633">
        <f t="shared" si="10"/>
        <v>85.2</v>
      </c>
      <c r="U19" s="642"/>
      <c r="V19" s="628">
        <f t="shared" si="11"/>
        <v>5.68</v>
      </c>
      <c r="W19" s="628">
        <f t="shared" si="12"/>
        <v>4.97</v>
      </c>
      <c r="X19" s="628">
        <f t="shared" si="13"/>
        <v>4.26</v>
      </c>
    </row>
    <row r="20" spans="1:24" s="646" customFormat="1" ht="31.2" x14ac:dyDescent="0.3">
      <c r="A20" s="635" t="s">
        <v>38</v>
      </c>
      <c r="B20" s="643" t="s">
        <v>48</v>
      </c>
      <c r="C20" s="637" t="s">
        <v>40</v>
      </c>
      <c r="D20" s="629" t="s">
        <v>41</v>
      </c>
      <c r="E20" s="638" t="s">
        <v>42</v>
      </c>
      <c r="F20" s="630">
        <f>F19</f>
        <v>28.39</v>
      </c>
      <c r="G20" s="630">
        <f>G19*1.25</f>
        <v>0.88</v>
      </c>
      <c r="H20" s="631">
        <f t="shared" si="0"/>
        <v>24.98</v>
      </c>
      <c r="I20" s="631">
        <f t="shared" si="1"/>
        <v>2.5</v>
      </c>
      <c r="J20" s="631">
        <f t="shared" si="2"/>
        <v>6.57</v>
      </c>
      <c r="K20" s="631">
        <f t="shared" si="3"/>
        <v>49.01</v>
      </c>
      <c r="L20" s="631">
        <f t="shared" si="4"/>
        <v>83.06</v>
      </c>
      <c r="M20" s="631">
        <f t="shared" si="5"/>
        <v>8.31</v>
      </c>
      <c r="N20" s="631">
        <f t="shared" si="6"/>
        <v>16.45</v>
      </c>
      <c r="O20" s="631">
        <f t="shared" si="7"/>
        <v>106.8</v>
      </c>
      <c r="P20" s="631">
        <f t="shared" si="8"/>
        <v>8.9</v>
      </c>
      <c r="Q20" s="631">
        <f>L20+M20+N20</f>
        <v>107.82</v>
      </c>
      <c r="R20" s="644"/>
      <c r="S20" s="645">
        <f t="shared" si="14"/>
        <v>8.9</v>
      </c>
      <c r="T20" s="645">
        <f t="shared" si="10"/>
        <v>106.8</v>
      </c>
      <c r="U20" s="642"/>
      <c r="V20" s="628">
        <f t="shared" si="11"/>
        <v>7.12</v>
      </c>
      <c r="W20" s="628">
        <f t="shared" si="12"/>
        <v>6.23</v>
      </c>
      <c r="X20" s="628">
        <f t="shared" si="13"/>
        <v>5.34</v>
      </c>
    </row>
    <row r="21" spans="1:24" x14ac:dyDescent="0.3">
      <c r="A21" s="626" t="s">
        <v>49</v>
      </c>
      <c r="B21" s="627" t="s">
        <v>50</v>
      </c>
      <c r="C21" s="628" t="s">
        <v>45</v>
      </c>
      <c r="D21" s="629" t="s">
        <v>41</v>
      </c>
      <c r="E21" s="629" t="s">
        <v>42</v>
      </c>
      <c r="F21" s="630">
        <f>$F$17</f>
        <v>28.39</v>
      </c>
      <c r="G21" s="630">
        <v>0.32</v>
      </c>
      <c r="H21" s="631">
        <f t="shared" si="0"/>
        <v>9.08</v>
      </c>
      <c r="I21" s="631">
        <f t="shared" si="1"/>
        <v>0.91</v>
      </c>
      <c r="J21" s="631">
        <f t="shared" si="2"/>
        <v>2.39</v>
      </c>
      <c r="K21" s="631">
        <f t="shared" si="3"/>
        <v>17.809999999999999</v>
      </c>
      <c r="L21" s="631">
        <f t="shared" si="4"/>
        <v>30.19</v>
      </c>
      <c r="M21" s="631">
        <f t="shared" si="5"/>
        <v>3.02</v>
      </c>
      <c r="N21" s="631">
        <f t="shared" si="6"/>
        <v>5.98</v>
      </c>
      <c r="O21" s="631">
        <f t="shared" si="7"/>
        <v>38.4</v>
      </c>
      <c r="P21" s="631">
        <f t="shared" si="8"/>
        <v>3.2</v>
      </c>
      <c r="Q21" s="631">
        <f t="shared" si="9"/>
        <v>39.19</v>
      </c>
      <c r="R21" s="644"/>
      <c r="S21" s="645">
        <f t="shared" si="14"/>
        <v>3.2</v>
      </c>
      <c r="T21" s="645">
        <f t="shared" si="10"/>
        <v>38.4</v>
      </c>
      <c r="U21" s="642"/>
      <c r="V21" s="628">
        <f t="shared" si="11"/>
        <v>2.56</v>
      </c>
      <c r="W21" s="628">
        <f t="shared" si="12"/>
        <v>2.2400000000000002</v>
      </c>
      <c r="X21" s="628">
        <f t="shared" si="13"/>
        <v>1.92</v>
      </c>
    </row>
    <row r="22" spans="1:24" ht="16.5" customHeight="1" x14ac:dyDescent="0.3">
      <c r="A22" s="626" t="s">
        <v>51</v>
      </c>
      <c r="B22" s="643" t="s">
        <v>52</v>
      </c>
      <c r="C22" s="637" t="s">
        <v>53</v>
      </c>
      <c r="D22" s="638" t="s">
        <v>42</v>
      </c>
      <c r="E22" s="638" t="s">
        <v>54</v>
      </c>
      <c r="F22" s="639">
        <f>R22/165</f>
        <v>36.619999999999997</v>
      </c>
      <c r="G22" s="630">
        <v>0.93</v>
      </c>
      <c r="H22" s="631">
        <f t="shared" si="0"/>
        <v>34.06</v>
      </c>
      <c r="I22" s="631">
        <f t="shared" si="1"/>
        <v>3.41</v>
      </c>
      <c r="J22" s="631">
        <f t="shared" si="2"/>
        <v>8.9600000000000009</v>
      </c>
      <c r="K22" s="631">
        <f t="shared" si="3"/>
        <v>66.83</v>
      </c>
      <c r="L22" s="631">
        <f t="shared" si="4"/>
        <v>113.26</v>
      </c>
      <c r="M22" s="631">
        <f t="shared" si="5"/>
        <v>11.33</v>
      </c>
      <c r="N22" s="631">
        <f t="shared" si="6"/>
        <v>22.43</v>
      </c>
      <c r="O22" s="631">
        <f t="shared" si="7"/>
        <v>146.4</v>
      </c>
      <c r="P22" s="631">
        <f t="shared" si="8"/>
        <v>12.2</v>
      </c>
      <c r="Q22" s="631">
        <f t="shared" si="9"/>
        <v>147.02000000000001</v>
      </c>
      <c r="R22" s="641">
        <f>R19*1.29</f>
        <v>6042</v>
      </c>
      <c r="S22" s="645">
        <f t="shared" si="14"/>
        <v>12.2</v>
      </c>
      <c r="T22" s="645">
        <f t="shared" si="10"/>
        <v>146.4</v>
      </c>
      <c r="U22" s="642"/>
      <c r="V22" s="628">
        <f t="shared" si="11"/>
        <v>9.76</v>
      </c>
      <c r="W22" s="628">
        <f t="shared" si="12"/>
        <v>8.5399999999999991</v>
      </c>
      <c r="X22" s="628">
        <f t="shared" si="13"/>
        <v>7.32</v>
      </c>
    </row>
    <row r="23" spans="1:24" x14ac:dyDescent="0.3">
      <c r="A23" s="626" t="s">
        <v>55</v>
      </c>
      <c r="B23" s="627" t="s">
        <v>56</v>
      </c>
      <c r="C23" s="628" t="s">
        <v>45</v>
      </c>
      <c r="D23" s="629" t="s">
        <v>41</v>
      </c>
      <c r="E23" s="629" t="s">
        <v>42</v>
      </c>
      <c r="F23" s="630">
        <f>$F$17</f>
        <v>28.39</v>
      </c>
      <c r="G23" s="630">
        <v>0.77</v>
      </c>
      <c r="H23" s="631">
        <f t="shared" si="0"/>
        <v>21.86</v>
      </c>
      <c r="I23" s="631">
        <f t="shared" si="1"/>
        <v>2.19</v>
      </c>
      <c r="J23" s="631">
        <f t="shared" si="2"/>
        <v>5.75</v>
      </c>
      <c r="K23" s="631">
        <f t="shared" si="3"/>
        <v>42.89</v>
      </c>
      <c r="L23" s="631">
        <f t="shared" si="4"/>
        <v>72.69</v>
      </c>
      <c r="M23" s="631">
        <f t="shared" si="5"/>
        <v>7.27</v>
      </c>
      <c r="N23" s="631">
        <f t="shared" si="6"/>
        <v>14.39</v>
      </c>
      <c r="O23" s="631">
        <f t="shared" si="7"/>
        <v>93.6</v>
      </c>
      <c r="P23" s="631">
        <f t="shared" si="8"/>
        <v>7.8</v>
      </c>
      <c r="Q23" s="631">
        <f t="shared" si="9"/>
        <v>94.35</v>
      </c>
      <c r="R23" s="641"/>
      <c r="S23" s="645">
        <f t="shared" si="14"/>
        <v>7.8</v>
      </c>
      <c r="T23" s="645">
        <f t="shared" si="10"/>
        <v>93.6</v>
      </c>
      <c r="U23" s="642"/>
      <c r="V23" s="628">
        <f t="shared" si="11"/>
        <v>6.24</v>
      </c>
      <c r="W23" s="628">
        <f t="shared" si="12"/>
        <v>5.46</v>
      </c>
      <c r="X23" s="628">
        <f t="shared" si="13"/>
        <v>4.68</v>
      </c>
    </row>
    <row r="24" spans="1:24" ht="15.75" customHeight="1" x14ac:dyDescent="0.3">
      <c r="A24" s="626" t="s">
        <v>57</v>
      </c>
      <c r="B24" s="647" t="s">
        <v>58</v>
      </c>
      <c r="C24" s="628" t="s">
        <v>45</v>
      </c>
      <c r="D24" s="629" t="s">
        <v>42</v>
      </c>
      <c r="E24" s="629" t="s">
        <v>54</v>
      </c>
      <c r="F24" s="630">
        <f>$F$22</f>
        <v>36.619999999999997</v>
      </c>
      <c r="G24" s="630">
        <v>1.24</v>
      </c>
      <c r="H24" s="631">
        <f t="shared" si="0"/>
        <v>45.41</v>
      </c>
      <c r="I24" s="631">
        <f t="shared" si="1"/>
        <v>4.54</v>
      </c>
      <c r="J24" s="631">
        <f t="shared" si="2"/>
        <v>11.94</v>
      </c>
      <c r="K24" s="631">
        <f t="shared" si="3"/>
        <v>89.09</v>
      </c>
      <c r="L24" s="631">
        <f t="shared" si="4"/>
        <v>150.97999999999999</v>
      </c>
      <c r="M24" s="631">
        <f t="shared" si="5"/>
        <v>15.1</v>
      </c>
      <c r="N24" s="631">
        <f t="shared" si="6"/>
        <v>29.89</v>
      </c>
      <c r="O24" s="631">
        <f t="shared" si="7"/>
        <v>195.6</v>
      </c>
      <c r="P24" s="631">
        <f t="shared" si="8"/>
        <v>16.3</v>
      </c>
      <c r="Q24" s="631">
        <f t="shared" si="9"/>
        <v>195.97</v>
      </c>
      <c r="R24" s="632"/>
      <c r="S24" s="633">
        <f t="shared" si="14"/>
        <v>16.3</v>
      </c>
      <c r="T24" s="633">
        <f t="shared" si="10"/>
        <v>195.6</v>
      </c>
      <c r="U24" s="634"/>
      <c r="V24" s="628">
        <f t="shared" si="11"/>
        <v>13.04</v>
      </c>
      <c r="W24" s="628">
        <f t="shared" si="12"/>
        <v>11.41</v>
      </c>
      <c r="X24" s="628">
        <f t="shared" si="13"/>
        <v>9.7799999999999994</v>
      </c>
    </row>
    <row r="25" spans="1:24" ht="15.75" customHeight="1" x14ac:dyDescent="0.3">
      <c r="A25" s="626" t="s">
        <v>59</v>
      </c>
      <c r="B25" s="647" t="s">
        <v>60</v>
      </c>
      <c r="C25" s="628" t="s">
        <v>45</v>
      </c>
      <c r="D25" s="629" t="s">
        <v>42</v>
      </c>
      <c r="E25" s="629" t="s">
        <v>54</v>
      </c>
      <c r="F25" s="630">
        <f>$F$22</f>
        <v>36.619999999999997</v>
      </c>
      <c r="G25" s="630">
        <v>2.4</v>
      </c>
      <c r="H25" s="631">
        <f t="shared" si="0"/>
        <v>87.89</v>
      </c>
      <c r="I25" s="631">
        <f t="shared" si="1"/>
        <v>8.7899999999999991</v>
      </c>
      <c r="J25" s="631">
        <f t="shared" si="2"/>
        <v>23.12</v>
      </c>
      <c r="K25" s="631">
        <f t="shared" si="3"/>
        <v>172.44</v>
      </c>
      <c r="L25" s="631">
        <f t="shared" si="4"/>
        <v>292.24</v>
      </c>
      <c r="M25" s="631">
        <f t="shared" si="5"/>
        <v>29.22</v>
      </c>
      <c r="N25" s="631">
        <f t="shared" si="6"/>
        <v>57.86</v>
      </c>
      <c r="O25" s="631">
        <f t="shared" si="7"/>
        <v>379.2</v>
      </c>
      <c r="P25" s="631">
        <f t="shared" si="8"/>
        <v>31.6</v>
      </c>
      <c r="Q25" s="631">
        <f t="shared" si="9"/>
        <v>379.32</v>
      </c>
      <c r="R25" s="632"/>
      <c r="S25" s="633">
        <f t="shared" si="14"/>
        <v>31.6</v>
      </c>
      <c r="T25" s="633">
        <f t="shared" si="10"/>
        <v>379.2</v>
      </c>
      <c r="U25" s="634"/>
      <c r="V25" s="628">
        <f t="shared" si="11"/>
        <v>25.28</v>
      </c>
      <c r="W25" s="628">
        <f t="shared" si="12"/>
        <v>22.12</v>
      </c>
      <c r="X25" s="628">
        <f t="shared" si="13"/>
        <v>18.96</v>
      </c>
    </row>
    <row r="26" spans="1:24" s="592" customFormat="1" ht="31.2" x14ac:dyDescent="0.3">
      <c r="A26" s="635" t="s">
        <v>61</v>
      </c>
      <c r="B26" s="643" t="s">
        <v>62</v>
      </c>
      <c r="C26" s="637" t="str">
        <f>C25</f>
        <v>"</v>
      </c>
      <c r="D26" s="638" t="s">
        <v>54</v>
      </c>
      <c r="E26" s="638" t="s">
        <v>54</v>
      </c>
      <c r="F26" s="640">
        <v>45.78</v>
      </c>
      <c r="G26" s="640">
        <v>3.64</v>
      </c>
      <c r="H26" s="640">
        <f t="shared" si="0"/>
        <v>166.64</v>
      </c>
      <c r="I26" s="640">
        <f t="shared" si="1"/>
        <v>16.66</v>
      </c>
      <c r="J26" s="640">
        <f t="shared" si="2"/>
        <v>43.83</v>
      </c>
      <c r="K26" s="631">
        <f t="shared" si="3"/>
        <v>326.95</v>
      </c>
      <c r="L26" s="631">
        <f t="shared" si="4"/>
        <v>554.08000000000004</v>
      </c>
      <c r="M26" s="631">
        <f t="shared" si="5"/>
        <v>55.41</v>
      </c>
      <c r="N26" s="631">
        <f t="shared" si="6"/>
        <v>109.71</v>
      </c>
      <c r="O26" s="631">
        <f t="shared" si="7"/>
        <v>718.8</v>
      </c>
      <c r="P26" s="631">
        <f t="shared" si="8"/>
        <v>59.9</v>
      </c>
      <c r="Q26" s="631">
        <f t="shared" si="9"/>
        <v>719.2</v>
      </c>
      <c r="R26" s="644"/>
      <c r="S26" s="633">
        <f t="shared" si="14"/>
        <v>59.9</v>
      </c>
      <c r="T26" s="633">
        <f t="shared" si="10"/>
        <v>718.8</v>
      </c>
      <c r="U26" s="642"/>
      <c r="V26" s="628">
        <f t="shared" si="11"/>
        <v>47.92</v>
      </c>
      <c r="W26" s="628">
        <f t="shared" si="12"/>
        <v>41.93</v>
      </c>
      <c r="X26" s="628">
        <f t="shared" si="13"/>
        <v>35.94</v>
      </c>
    </row>
    <row r="27" spans="1:24" x14ac:dyDescent="0.3">
      <c r="A27" s="626" t="s">
        <v>63</v>
      </c>
      <c r="B27" s="627" t="s">
        <v>64</v>
      </c>
      <c r="C27" s="628" t="s">
        <v>65</v>
      </c>
      <c r="D27" s="629" t="s">
        <v>41</v>
      </c>
      <c r="E27" s="629" t="s">
        <v>42</v>
      </c>
      <c r="F27" s="630">
        <f>$F$17</f>
        <v>28.39</v>
      </c>
      <c r="G27" s="630">
        <v>0.73</v>
      </c>
      <c r="H27" s="631">
        <f t="shared" si="0"/>
        <v>20.72</v>
      </c>
      <c r="I27" s="631">
        <f t="shared" si="1"/>
        <v>2.0699999999999998</v>
      </c>
      <c r="J27" s="631">
        <f t="shared" si="2"/>
        <v>5.45</v>
      </c>
      <c r="K27" s="631">
        <f t="shared" si="3"/>
        <v>40.65</v>
      </c>
      <c r="L27" s="631">
        <f t="shared" si="4"/>
        <v>68.89</v>
      </c>
      <c r="M27" s="631">
        <f t="shared" si="5"/>
        <v>6.89</v>
      </c>
      <c r="N27" s="631">
        <f t="shared" si="6"/>
        <v>13.64</v>
      </c>
      <c r="O27" s="631">
        <f t="shared" si="7"/>
        <v>88.8</v>
      </c>
      <c r="P27" s="631">
        <f t="shared" si="8"/>
        <v>7.4</v>
      </c>
      <c r="Q27" s="631">
        <f t="shared" si="9"/>
        <v>89.42</v>
      </c>
      <c r="R27" s="632"/>
      <c r="S27" s="633">
        <f t="shared" si="14"/>
        <v>7.4</v>
      </c>
      <c r="T27" s="633">
        <f t="shared" si="10"/>
        <v>88.8</v>
      </c>
      <c r="U27" s="634"/>
      <c r="V27" s="628">
        <f t="shared" si="11"/>
        <v>5.92</v>
      </c>
      <c r="W27" s="628">
        <f t="shared" si="12"/>
        <v>5.18</v>
      </c>
      <c r="X27" s="628">
        <f t="shared" si="13"/>
        <v>4.4400000000000004</v>
      </c>
    </row>
    <row r="28" spans="1:24" ht="15.75" customHeight="1" x14ac:dyDescent="0.3">
      <c r="A28" s="626" t="s">
        <v>66</v>
      </c>
      <c r="B28" s="647" t="s">
        <v>67</v>
      </c>
      <c r="C28" s="628" t="s">
        <v>45</v>
      </c>
      <c r="D28" s="629" t="s">
        <v>42</v>
      </c>
      <c r="E28" s="629" t="s">
        <v>54</v>
      </c>
      <c r="F28" s="630">
        <f>$F$22</f>
        <v>36.619999999999997</v>
      </c>
      <c r="G28" s="630">
        <v>0.5</v>
      </c>
      <c r="H28" s="631">
        <f t="shared" si="0"/>
        <v>18.309999999999999</v>
      </c>
      <c r="I28" s="631">
        <f t="shared" si="1"/>
        <v>1.83</v>
      </c>
      <c r="J28" s="631">
        <f t="shared" si="2"/>
        <v>4.82</v>
      </c>
      <c r="K28" s="631">
        <f t="shared" si="3"/>
        <v>35.92</v>
      </c>
      <c r="L28" s="631">
        <f t="shared" si="4"/>
        <v>60.88</v>
      </c>
      <c r="M28" s="631">
        <f t="shared" si="5"/>
        <v>6.09</v>
      </c>
      <c r="N28" s="631">
        <f t="shared" si="6"/>
        <v>12.05</v>
      </c>
      <c r="O28" s="631">
        <f t="shared" si="7"/>
        <v>78</v>
      </c>
      <c r="P28" s="631">
        <f t="shared" si="8"/>
        <v>6.5</v>
      </c>
      <c r="Q28" s="631">
        <f t="shared" si="9"/>
        <v>79.02</v>
      </c>
      <c r="R28" s="632"/>
      <c r="S28" s="633">
        <f t="shared" si="14"/>
        <v>6.5</v>
      </c>
      <c r="T28" s="633">
        <f t="shared" si="10"/>
        <v>78</v>
      </c>
      <c r="U28" s="634"/>
      <c r="V28" s="628">
        <f t="shared" si="11"/>
        <v>5.2</v>
      </c>
      <c r="W28" s="628">
        <f t="shared" si="12"/>
        <v>4.55</v>
      </c>
      <c r="X28" s="628">
        <f t="shared" si="13"/>
        <v>3.9</v>
      </c>
    </row>
    <row r="29" spans="1:24" s="592" customFormat="1" x14ac:dyDescent="0.3">
      <c r="A29" s="635" t="s">
        <v>68</v>
      </c>
      <c r="B29" s="636" t="s">
        <v>69</v>
      </c>
      <c r="C29" s="637" t="s">
        <v>70</v>
      </c>
      <c r="D29" s="638" t="s">
        <v>42</v>
      </c>
      <c r="E29" s="638" t="s">
        <v>54</v>
      </c>
      <c r="F29" s="630">
        <f>$F$22</f>
        <v>36.619999999999997</v>
      </c>
      <c r="G29" s="630">
        <v>0.3</v>
      </c>
      <c r="H29" s="631">
        <f t="shared" si="0"/>
        <v>10.99</v>
      </c>
      <c r="I29" s="640">
        <f t="shared" si="1"/>
        <v>1.1000000000000001</v>
      </c>
      <c r="J29" s="640">
        <f t="shared" si="2"/>
        <v>2.89</v>
      </c>
      <c r="K29" s="640">
        <f t="shared" si="3"/>
        <v>21.56</v>
      </c>
      <c r="L29" s="631">
        <f t="shared" si="4"/>
        <v>36.54</v>
      </c>
      <c r="M29" s="631">
        <f t="shared" si="5"/>
        <v>3.65</v>
      </c>
      <c r="N29" s="631">
        <f t="shared" si="6"/>
        <v>7.23</v>
      </c>
      <c r="O29" s="631">
        <f t="shared" si="7"/>
        <v>46.8</v>
      </c>
      <c r="P29" s="631">
        <f t="shared" si="8"/>
        <v>3.9</v>
      </c>
      <c r="Q29" s="631">
        <f t="shared" si="9"/>
        <v>47.42</v>
      </c>
      <c r="R29" s="644"/>
      <c r="S29" s="633">
        <f t="shared" si="14"/>
        <v>3.9</v>
      </c>
      <c r="T29" s="633">
        <f t="shared" si="10"/>
        <v>46.8</v>
      </c>
      <c r="U29" s="642"/>
      <c r="V29" s="628">
        <f t="shared" si="11"/>
        <v>3.12</v>
      </c>
      <c r="W29" s="628">
        <f t="shared" si="12"/>
        <v>2.73</v>
      </c>
      <c r="X29" s="628">
        <f t="shared" si="13"/>
        <v>2.34</v>
      </c>
    </row>
    <row r="30" spans="1:24" ht="31.2" x14ac:dyDescent="0.3">
      <c r="A30" s="626" t="s">
        <v>71</v>
      </c>
      <c r="B30" s="647" t="s">
        <v>85</v>
      </c>
      <c r="C30" s="628" t="s">
        <v>86</v>
      </c>
      <c r="D30" s="629" t="s">
        <v>42</v>
      </c>
      <c r="E30" s="629" t="s">
        <v>54</v>
      </c>
      <c r="F30" s="630">
        <f>$F$22</f>
        <v>36.619999999999997</v>
      </c>
      <c r="G30" s="630">
        <v>1.44</v>
      </c>
      <c r="H30" s="631">
        <f t="shared" si="0"/>
        <v>52.73</v>
      </c>
      <c r="I30" s="631">
        <f t="shared" si="1"/>
        <v>5.27</v>
      </c>
      <c r="J30" s="631">
        <f t="shared" si="2"/>
        <v>13.87</v>
      </c>
      <c r="K30" s="631">
        <f t="shared" si="3"/>
        <v>103.46</v>
      </c>
      <c r="L30" s="631">
        <f t="shared" si="4"/>
        <v>175.33</v>
      </c>
      <c r="M30" s="631">
        <f t="shared" si="5"/>
        <v>17.53</v>
      </c>
      <c r="N30" s="631">
        <f t="shared" si="6"/>
        <v>34.71</v>
      </c>
      <c r="O30" s="631">
        <f t="shared" si="7"/>
        <v>226.8</v>
      </c>
      <c r="P30" s="631">
        <f t="shared" si="8"/>
        <v>18.899999999999999</v>
      </c>
      <c r="Q30" s="631">
        <f t="shared" si="9"/>
        <v>227.57</v>
      </c>
      <c r="R30" s="632"/>
      <c r="S30" s="633">
        <f t="shared" si="14"/>
        <v>18.899999999999999</v>
      </c>
      <c r="T30" s="633">
        <f t="shared" si="10"/>
        <v>226.8</v>
      </c>
      <c r="U30" s="634"/>
      <c r="V30" s="628">
        <f t="shared" si="11"/>
        <v>15.12</v>
      </c>
      <c r="W30" s="628">
        <f t="shared" si="12"/>
        <v>13.23</v>
      </c>
      <c r="X30" s="628">
        <f t="shared" si="13"/>
        <v>11.34</v>
      </c>
    </row>
    <row r="31" spans="1:24" ht="46.8" x14ac:dyDescent="0.3">
      <c r="A31" s="626" t="s">
        <v>74</v>
      </c>
      <c r="B31" s="647" t="s">
        <v>87</v>
      </c>
      <c r="C31" s="628" t="s">
        <v>88</v>
      </c>
      <c r="D31" s="629" t="s">
        <v>42</v>
      </c>
      <c r="E31" s="629" t="s">
        <v>54</v>
      </c>
      <c r="F31" s="630">
        <f>$F$22</f>
        <v>36.619999999999997</v>
      </c>
      <c r="G31" s="630">
        <v>0.52</v>
      </c>
      <c r="H31" s="631">
        <f t="shared" si="0"/>
        <v>19.04</v>
      </c>
      <c r="I31" s="631">
        <f t="shared" si="1"/>
        <v>1.9</v>
      </c>
      <c r="J31" s="631">
        <f t="shared" si="2"/>
        <v>5.01</v>
      </c>
      <c r="K31" s="631">
        <f t="shared" si="3"/>
        <v>37.36</v>
      </c>
      <c r="L31" s="631">
        <f t="shared" si="4"/>
        <v>63.31</v>
      </c>
      <c r="M31" s="631">
        <f t="shared" si="5"/>
        <v>6.33</v>
      </c>
      <c r="N31" s="631">
        <f t="shared" si="6"/>
        <v>12.54</v>
      </c>
      <c r="O31" s="631">
        <f t="shared" si="7"/>
        <v>81.599999999999994</v>
      </c>
      <c r="P31" s="631">
        <f t="shared" si="8"/>
        <v>6.8</v>
      </c>
      <c r="Q31" s="631">
        <f t="shared" si="9"/>
        <v>82.18</v>
      </c>
      <c r="R31" s="632"/>
      <c r="S31" s="633">
        <f t="shared" si="14"/>
        <v>6.8</v>
      </c>
      <c r="T31" s="633">
        <f t="shared" si="10"/>
        <v>81.599999999999994</v>
      </c>
      <c r="U31" s="634"/>
      <c r="V31" s="628">
        <f t="shared" si="11"/>
        <v>5.44</v>
      </c>
      <c r="W31" s="628">
        <f t="shared" si="12"/>
        <v>4.76</v>
      </c>
      <c r="X31" s="628">
        <f t="shared" si="13"/>
        <v>4.08</v>
      </c>
    </row>
    <row r="32" spans="1:24" ht="34.5" customHeight="1" x14ac:dyDescent="0.3">
      <c r="A32" s="626"/>
      <c r="B32" s="647" t="s">
        <v>89</v>
      </c>
      <c r="C32" s="628"/>
      <c r="D32" s="629"/>
      <c r="E32" s="629"/>
      <c r="F32" s="630"/>
      <c r="G32" s="630"/>
      <c r="H32" s="631">
        <f t="shared" si="0"/>
        <v>0</v>
      </c>
      <c r="I32" s="631">
        <f t="shared" si="1"/>
        <v>0</v>
      </c>
      <c r="J32" s="631">
        <f t="shared" si="2"/>
        <v>0</v>
      </c>
      <c r="K32" s="631">
        <f t="shared" si="3"/>
        <v>0</v>
      </c>
      <c r="L32" s="631">
        <f t="shared" si="4"/>
        <v>0</v>
      </c>
      <c r="M32" s="631">
        <f t="shared" si="5"/>
        <v>0</v>
      </c>
      <c r="N32" s="631">
        <f t="shared" si="6"/>
        <v>0</v>
      </c>
      <c r="O32" s="631">
        <f t="shared" si="7"/>
        <v>0</v>
      </c>
      <c r="P32" s="631">
        <f t="shared" si="8"/>
        <v>0</v>
      </c>
      <c r="Q32" s="631">
        <f t="shared" si="9"/>
        <v>0</v>
      </c>
      <c r="R32" s="632"/>
      <c r="S32" s="633">
        <f t="shared" si="14"/>
        <v>0</v>
      </c>
      <c r="T32" s="633">
        <f t="shared" si="10"/>
        <v>0</v>
      </c>
      <c r="U32" s="634"/>
      <c r="V32" s="628">
        <f t="shared" si="11"/>
        <v>0</v>
      </c>
      <c r="W32" s="628">
        <f t="shared" si="12"/>
        <v>0</v>
      </c>
      <c r="X32" s="628">
        <f t="shared" si="13"/>
        <v>0</v>
      </c>
    </row>
    <row r="33" spans="1:24" ht="31.2" x14ac:dyDescent="0.3">
      <c r="A33" s="626" t="s">
        <v>76</v>
      </c>
      <c r="B33" s="647" t="s">
        <v>90</v>
      </c>
      <c r="C33" s="978" t="s">
        <v>91</v>
      </c>
      <c r="D33" s="629"/>
      <c r="E33" s="629"/>
      <c r="F33" s="630"/>
      <c r="G33" s="630"/>
      <c r="H33" s="631">
        <f t="shared" si="0"/>
        <v>0</v>
      </c>
      <c r="I33" s="649"/>
      <c r="J33" s="649"/>
      <c r="K33" s="649"/>
      <c r="L33" s="631">
        <f t="shared" si="4"/>
        <v>0</v>
      </c>
      <c r="M33" s="631">
        <f t="shared" si="5"/>
        <v>0</v>
      </c>
      <c r="N33" s="631">
        <f t="shared" si="6"/>
        <v>0</v>
      </c>
      <c r="O33" s="631">
        <f t="shared" si="7"/>
        <v>0</v>
      </c>
      <c r="P33" s="631">
        <f t="shared" si="8"/>
        <v>0</v>
      </c>
      <c r="Q33" s="631">
        <f t="shared" si="9"/>
        <v>0</v>
      </c>
      <c r="R33" s="632"/>
      <c r="S33" s="633">
        <f t="shared" si="14"/>
        <v>0</v>
      </c>
      <c r="T33" s="633">
        <f t="shared" si="10"/>
        <v>0</v>
      </c>
      <c r="U33" s="634"/>
      <c r="V33" s="628">
        <f t="shared" si="11"/>
        <v>0</v>
      </c>
      <c r="W33" s="628">
        <f t="shared" si="12"/>
        <v>0</v>
      </c>
      <c r="X33" s="628">
        <f t="shared" si="13"/>
        <v>0</v>
      </c>
    </row>
    <row r="34" spans="1:24" x14ac:dyDescent="0.3">
      <c r="A34" s="626"/>
      <c r="B34" s="650" t="s">
        <v>92</v>
      </c>
      <c r="C34" s="978"/>
      <c r="D34" s="629" t="s">
        <v>41</v>
      </c>
      <c r="E34" s="629" t="s">
        <v>42</v>
      </c>
      <c r="F34" s="630">
        <f>$F$17</f>
        <v>28.39</v>
      </c>
      <c r="G34" s="651">
        <v>0.96</v>
      </c>
      <c r="H34" s="631">
        <f t="shared" si="0"/>
        <v>27.25</v>
      </c>
      <c r="I34" s="631">
        <f>H34*10%</f>
        <v>2.73</v>
      </c>
      <c r="J34" s="631">
        <f>H34*26.3%</f>
        <v>7.17</v>
      </c>
      <c r="K34" s="631">
        <f>H34*196.2%</f>
        <v>53.46</v>
      </c>
      <c r="L34" s="631">
        <f t="shared" si="4"/>
        <v>90.61</v>
      </c>
      <c r="M34" s="631">
        <f t="shared" si="5"/>
        <v>9.06</v>
      </c>
      <c r="N34" s="631">
        <f t="shared" si="6"/>
        <v>17.940000000000001</v>
      </c>
      <c r="O34" s="631">
        <f t="shared" si="7"/>
        <v>117.6</v>
      </c>
      <c r="P34" s="631">
        <f t="shared" si="8"/>
        <v>9.8000000000000007</v>
      </c>
      <c r="Q34" s="631">
        <f t="shared" si="9"/>
        <v>117.61</v>
      </c>
      <c r="R34" s="632"/>
      <c r="S34" s="633">
        <f t="shared" si="14"/>
        <v>9.8000000000000007</v>
      </c>
      <c r="T34" s="633">
        <f t="shared" si="10"/>
        <v>117.6</v>
      </c>
      <c r="U34" s="634"/>
      <c r="V34" s="628">
        <f t="shared" si="11"/>
        <v>7.84</v>
      </c>
      <c r="W34" s="628">
        <f t="shared" si="12"/>
        <v>6.86</v>
      </c>
      <c r="X34" s="628">
        <f t="shared" si="13"/>
        <v>5.88</v>
      </c>
    </row>
    <row r="35" spans="1:24" x14ac:dyDescent="0.3">
      <c r="A35" s="626"/>
      <c r="B35" s="652" t="s">
        <v>93</v>
      </c>
      <c r="C35" s="628" t="s">
        <v>45</v>
      </c>
      <c r="D35" s="629" t="s">
        <v>41</v>
      </c>
      <c r="E35" s="629" t="s">
        <v>42</v>
      </c>
      <c r="F35" s="630">
        <f>$F$17</f>
        <v>28.39</v>
      </c>
      <c r="G35" s="651">
        <v>1.2</v>
      </c>
      <c r="H35" s="631">
        <f t="shared" si="0"/>
        <v>34.07</v>
      </c>
      <c r="I35" s="631">
        <f>H35*10%</f>
        <v>3.41</v>
      </c>
      <c r="J35" s="631">
        <f>H35*26.3%</f>
        <v>8.9600000000000009</v>
      </c>
      <c r="K35" s="631">
        <f>H35*196.2%</f>
        <v>66.849999999999994</v>
      </c>
      <c r="L35" s="631">
        <f t="shared" si="4"/>
        <v>113.29</v>
      </c>
      <c r="M35" s="631">
        <f t="shared" si="5"/>
        <v>11.33</v>
      </c>
      <c r="N35" s="631">
        <f t="shared" si="6"/>
        <v>22.43</v>
      </c>
      <c r="O35" s="631">
        <f t="shared" si="7"/>
        <v>146.4</v>
      </c>
      <c r="P35" s="631">
        <f t="shared" si="8"/>
        <v>12.2</v>
      </c>
      <c r="Q35" s="631">
        <f t="shared" si="9"/>
        <v>147.05000000000001</v>
      </c>
      <c r="R35" s="632"/>
      <c r="S35" s="633">
        <f t="shared" si="14"/>
        <v>12.2</v>
      </c>
      <c r="T35" s="633">
        <f t="shared" si="10"/>
        <v>146.4</v>
      </c>
      <c r="U35" s="634"/>
      <c r="V35" s="628">
        <f t="shared" si="11"/>
        <v>9.76</v>
      </c>
      <c r="W35" s="628">
        <f t="shared" si="12"/>
        <v>8.5399999999999991</v>
      </c>
      <c r="X35" s="628">
        <f t="shared" si="13"/>
        <v>7.32</v>
      </c>
    </row>
    <row r="36" spans="1:24" x14ac:dyDescent="0.3">
      <c r="A36" s="626" t="s">
        <v>94</v>
      </c>
      <c r="B36" s="653" t="s">
        <v>75</v>
      </c>
      <c r="C36" s="628"/>
      <c r="D36" s="629"/>
      <c r="E36" s="629"/>
      <c r="F36" s="630"/>
      <c r="G36" s="630"/>
      <c r="H36" s="649"/>
      <c r="I36" s="649"/>
      <c r="J36" s="649"/>
      <c r="K36" s="649"/>
      <c r="L36" s="649"/>
      <c r="M36" s="649"/>
      <c r="N36" s="649"/>
      <c r="O36" s="649">
        <f t="shared" si="7"/>
        <v>114</v>
      </c>
      <c r="P36" s="631">
        <v>9.5</v>
      </c>
      <c r="Q36" s="631"/>
      <c r="R36" s="632"/>
      <c r="S36" s="632"/>
      <c r="T36" s="632"/>
      <c r="U36" s="634"/>
      <c r="V36" s="628">
        <f t="shared" si="11"/>
        <v>7.6</v>
      </c>
      <c r="W36" s="628">
        <f t="shared" si="12"/>
        <v>6.65</v>
      </c>
      <c r="X36" s="628">
        <f t="shared" si="13"/>
        <v>5.7</v>
      </c>
    </row>
    <row r="37" spans="1:24" x14ac:dyDescent="0.3">
      <c r="A37" s="654" t="s">
        <v>95</v>
      </c>
      <c r="B37" s="655" t="s">
        <v>77</v>
      </c>
      <c r="C37" s="656"/>
      <c r="D37" s="657"/>
      <c r="E37" s="657"/>
      <c r="F37" s="658"/>
      <c r="G37" s="658"/>
      <c r="H37" s="659"/>
      <c r="I37" s="659"/>
      <c r="J37" s="659"/>
      <c r="K37" s="659"/>
      <c r="L37" s="659"/>
      <c r="M37" s="659"/>
      <c r="N37" s="659"/>
      <c r="O37" s="659">
        <f t="shared" si="7"/>
        <v>30</v>
      </c>
      <c r="P37" s="660">
        <v>2.5</v>
      </c>
      <c r="Q37" s="660"/>
      <c r="R37" s="661"/>
      <c r="S37" s="661"/>
      <c r="T37" s="661"/>
      <c r="U37" s="662"/>
      <c r="V37" s="659">
        <f t="shared" si="11"/>
        <v>2</v>
      </c>
      <c r="W37" s="656">
        <f t="shared" si="12"/>
        <v>1.75</v>
      </c>
      <c r="X37" s="656">
        <f t="shared" si="13"/>
        <v>1.5</v>
      </c>
    </row>
    <row r="38" spans="1:24" s="603" customFormat="1" x14ac:dyDescent="0.3">
      <c r="A38" s="663"/>
      <c r="B38" s="664"/>
      <c r="C38" s="665"/>
      <c r="D38" s="663"/>
      <c r="E38" s="663"/>
      <c r="F38" s="666"/>
      <c r="G38" s="666"/>
      <c r="H38" s="667"/>
      <c r="I38" s="668"/>
      <c r="J38" s="668"/>
      <c r="K38" s="668"/>
      <c r="L38" s="668"/>
      <c r="M38" s="668"/>
      <c r="N38" s="668"/>
      <c r="O38" s="668"/>
      <c r="P38" s="668"/>
      <c r="Q38" s="668"/>
      <c r="R38" s="602"/>
      <c r="S38" s="602"/>
      <c r="T38" s="602"/>
    </row>
    <row r="39" spans="1:24" x14ac:dyDescent="0.3">
      <c r="A39" s="979" t="s">
        <v>78</v>
      </c>
      <c r="B39" s="979"/>
      <c r="C39" s="979"/>
      <c r="D39" s="979"/>
      <c r="E39" s="979"/>
      <c r="F39" s="979"/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669"/>
    </row>
    <row r="40" spans="1:24" x14ac:dyDescent="0.3">
      <c r="A40" s="604"/>
      <c r="B40" s="605"/>
      <c r="C40" s="670"/>
      <c r="D40" s="604"/>
      <c r="E40" s="604"/>
      <c r="F40" s="671"/>
      <c r="G40" s="671"/>
      <c r="H40" s="669"/>
      <c r="I40" s="669"/>
      <c r="J40" s="669"/>
      <c r="K40" s="669"/>
      <c r="L40" s="669"/>
      <c r="M40" s="669"/>
      <c r="N40" s="669"/>
      <c r="O40" s="669"/>
      <c r="P40" s="669"/>
      <c r="Q40" s="669"/>
    </row>
    <row r="41" spans="1:24" x14ac:dyDescent="0.3">
      <c r="A41" s="604"/>
      <c r="B41" s="672"/>
      <c r="C41" s="670"/>
      <c r="D41" s="604"/>
      <c r="E41" s="604"/>
      <c r="F41" s="671"/>
      <c r="G41" s="671"/>
      <c r="H41" s="669"/>
      <c r="I41" s="669"/>
      <c r="J41" s="669"/>
      <c r="K41" s="669"/>
      <c r="L41" s="669"/>
      <c r="M41" s="669"/>
      <c r="N41" s="669"/>
      <c r="O41" s="669"/>
      <c r="P41" s="669"/>
      <c r="Q41" s="669"/>
    </row>
    <row r="42" spans="1:24" x14ac:dyDescent="0.3">
      <c r="A42" s="604"/>
      <c r="C42" s="670"/>
      <c r="D42" s="604"/>
      <c r="E42" s="604"/>
      <c r="F42" s="673"/>
      <c r="G42" s="674"/>
      <c r="H42" s="669"/>
      <c r="I42" s="669"/>
      <c r="J42" s="669"/>
      <c r="K42" s="669"/>
      <c r="L42" s="669"/>
      <c r="M42" s="669"/>
      <c r="N42" s="669"/>
      <c r="O42" s="669"/>
      <c r="P42" s="669"/>
      <c r="Q42" s="669"/>
    </row>
    <row r="43" spans="1:24" x14ac:dyDescent="0.3">
      <c r="A43" s="604"/>
      <c r="B43" s="605" t="s">
        <v>79</v>
      </c>
      <c r="C43" s="670"/>
      <c r="D43" s="604"/>
      <c r="E43" s="604"/>
      <c r="F43" s="673"/>
      <c r="G43" s="674"/>
      <c r="H43" s="669"/>
      <c r="I43" s="605"/>
      <c r="J43" s="605"/>
      <c r="K43" s="605"/>
      <c r="L43" s="605"/>
      <c r="M43" s="605"/>
      <c r="N43" s="605"/>
      <c r="O43" s="669"/>
      <c r="P43" s="605"/>
      <c r="Q43" s="605"/>
    </row>
    <row r="44" spans="1:24" s="605" customFormat="1" ht="12.75" customHeight="1" x14ac:dyDescent="0.3">
      <c r="A44" s="670"/>
      <c r="B44" s="672"/>
      <c r="F44" s="607"/>
      <c r="G44" s="607"/>
      <c r="Q44" s="675"/>
      <c r="R44" s="676"/>
      <c r="S44" s="676"/>
      <c r="T44" s="676"/>
    </row>
  </sheetData>
  <sheetProtection password="C763" sheet="1" objects="1" scenarios="1"/>
  <mergeCells count="25">
    <mergeCell ref="A2:P2"/>
    <mergeCell ref="A3:P3"/>
    <mergeCell ref="A12:A15"/>
    <mergeCell ref="B12:B15"/>
    <mergeCell ref="C12:C15"/>
    <mergeCell ref="G12:G15"/>
    <mergeCell ref="H12:H15"/>
    <mergeCell ref="I12:I15"/>
    <mergeCell ref="D12:D15"/>
    <mergeCell ref="E12:E15"/>
    <mergeCell ref="F12:F15"/>
    <mergeCell ref="X12:X15"/>
    <mergeCell ref="V12:V15"/>
    <mergeCell ref="W12:W15"/>
    <mergeCell ref="J12:J15"/>
    <mergeCell ref="K12:K15"/>
    <mergeCell ref="L12:L15"/>
    <mergeCell ref="M12:M15"/>
    <mergeCell ref="N12:N15"/>
    <mergeCell ref="R12:U15"/>
    <mergeCell ref="C33:C34"/>
    <mergeCell ref="A39:P39"/>
    <mergeCell ref="O12:O15"/>
    <mergeCell ref="P12:P15"/>
    <mergeCell ref="Q12:Q15"/>
  </mergeCells>
  <printOptions horizontalCentered="1"/>
  <pageMargins left="7.874015748031496E-2" right="7.874015748031496E-2" top="1.2598425196850394" bottom="0" header="0" footer="0.51181102362204722"/>
  <pageSetup paperSize="9" scale="76" fitToHeight="0" orientation="landscape" blackAndWhite="1" horizontalDpi="4294967292" r:id="rId1"/>
  <headerFooter alignWithMargins="0">
    <oddHeader>&amp;R&amp;"Garamond,обычный"&amp;14Приложение № 1 к Приказу № ______ от "_____"____________ 2006 г.
"УТВЕРЖДАЮ"
Генеральный директор ООО "СВГК"
_______________ С.В.Мирошниченко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Zeros="0" view="pageBreakPreview" zoomScale="80" zoomScaleNormal="100" zoomScaleSheetLayoutView="75" workbookViewId="0">
      <selection activeCell="B12" sqref="B12:B15"/>
    </sheetView>
  </sheetViews>
  <sheetFormatPr defaultColWidth="9" defaultRowHeight="15.6" outlineLevelCol="1" x14ac:dyDescent="0.3"/>
  <cols>
    <col min="1" max="1" width="5.19921875" style="585" customWidth="1"/>
    <col min="2" max="2" width="80.8984375" style="586" customWidth="1"/>
    <col min="3" max="3" width="11.5" style="586" customWidth="1"/>
    <col min="4" max="4" width="12.69921875" style="586" customWidth="1"/>
    <col min="5" max="5" width="10.59765625" style="586" hidden="1" customWidth="1" outlineLevel="1"/>
    <col min="6" max="6" width="9" style="586" customWidth="1" collapsed="1"/>
    <col min="7" max="7" width="8.3984375" style="586" customWidth="1"/>
    <col min="8" max="8" width="10.19921875" style="586" customWidth="1"/>
    <col min="9" max="9" width="8" style="586" hidden="1" customWidth="1" outlineLevel="1"/>
    <col min="10" max="10" width="9.09765625" style="586" hidden="1" customWidth="1" outlineLevel="1"/>
    <col min="11" max="11" width="9.8984375" style="586" hidden="1" customWidth="1" outlineLevel="1"/>
    <col min="12" max="12" width="13.3984375" style="586" customWidth="1" collapsed="1"/>
    <col min="13" max="14" width="9.19921875" style="586" hidden="1" customWidth="1" outlineLevel="1"/>
    <col min="15" max="15" width="12.3984375" style="586" customWidth="1" collapsed="1"/>
    <col min="16" max="16" width="15" style="586" customWidth="1"/>
    <col min="17" max="17" width="11.19921875" style="586" customWidth="1" outlineLevel="1"/>
    <col min="18" max="20" width="9" style="588" outlineLevel="1"/>
    <col min="21" max="23" width="15.3984375" style="586" customWidth="1"/>
    <col min="24" max="16384" width="9" style="586"/>
  </cols>
  <sheetData>
    <row r="1" spans="1:23" x14ac:dyDescent="0.3">
      <c r="Q1" s="587"/>
    </row>
    <row r="2" spans="1:23" ht="15" customHeight="1" x14ac:dyDescent="0.3">
      <c r="A2" s="987" t="s">
        <v>4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589"/>
    </row>
    <row r="3" spans="1:23" x14ac:dyDescent="0.3">
      <c r="A3" s="987" t="s">
        <v>5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589"/>
    </row>
    <row r="4" spans="1:23" x14ac:dyDescent="0.3">
      <c r="A4" s="993" t="s">
        <v>6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</row>
    <row r="5" spans="1:23" x14ac:dyDescent="0.3">
      <c r="A5" s="604"/>
      <c r="B5" s="605"/>
      <c r="C5" s="605"/>
      <c r="D5" s="606"/>
      <c r="E5" s="606"/>
      <c r="F5" s="607"/>
      <c r="G5" s="608"/>
    </row>
    <row r="6" spans="1:23" ht="12.75" customHeight="1" x14ac:dyDescent="0.3">
      <c r="A6" s="989" t="s">
        <v>7</v>
      </c>
      <c r="B6" s="990" t="s">
        <v>8</v>
      </c>
      <c r="C6" s="980" t="s">
        <v>9</v>
      </c>
      <c r="D6" s="980" t="s">
        <v>10</v>
      </c>
      <c r="E6" s="980" t="s">
        <v>82</v>
      </c>
      <c r="F6" s="980" t="s">
        <v>11</v>
      </c>
      <c r="G6" s="980" t="s">
        <v>12</v>
      </c>
      <c r="H6" s="980" t="s">
        <v>13</v>
      </c>
      <c r="I6" s="980" t="s">
        <v>14</v>
      </c>
      <c r="J6" s="980" t="s">
        <v>15</v>
      </c>
      <c r="K6" s="980" t="s">
        <v>16</v>
      </c>
      <c r="L6" s="980" t="s">
        <v>17</v>
      </c>
      <c r="M6" s="980" t="s">
        <v>18</v>
      </c>
      <c r="N6" s="980" t="s">
        <v>19</v>
      </c>
      <c r="O6" s="980" t="s">
        <v>83</v>
      </c>
      <c r="P6" s="980" t="s">
        <v>96</v>
      </c>
      <c r="Q6" s="980" t="s">
        <v>20</v>
      </c>
      <c r="R6" s="986" t="s">
        <v>22</v>
      </c>
      <c r="S6" s="986"/>
      <c r="T6" s="986"/>
      <c r="U6" s="983" t="s">
        <v>1420</v>
      </c>
      <c r="V6" s="983" t="s">
        <v>1421</v>
      </c>
      <c r="W6" s="983" t="s">
        <v>1422</v>
      </c>
    </row>
    <row r="7" spans="1:23" ht="12.75" customHeight="1" x14ac:dyDescent="0.3">
      <c r="A7" s="984"/>
      <c r="B7" s="991"/>
      <c r="C7" s="984" t="s">
        <v>23</v>
      </c>
      <c r="D7" s="984" t="s">
        <v>24</v>
      </c>
      <c r="E7" s="984" t="s">
        <v>24</v>
      </c>
      <c r="F7" s="984" t="s">
        <v>25</v>
      </c>
      <c r="G7" s="984" t="s">
        <v>26</v>
      </c>
      <c r="H7" s="984" t="s">
        <v>27</v>
      </c>
      <c r="I7" s="984"/>
      <c r="J7" s="984"/>
      <c r="K7" s="984"/>
      <c r="L7" s="984"/>
      <c r="M7" s="984"/>
      <c r="N7" s="984"/>
      <c r="O7" s="981"/>
      <c r="P7" s="981"/>
      <c r="Q7" s="981"/>
      <c r="R7" s="986"/>
      <c r="S7" s="986"/>
      <c r="T7" s="986"/>
      <c r="U7" s="983"/>
      <c r="V7" s="983"/>
      <c r="W7" s="983"/>
    </row>
    <row r="8" spans="1:23" x14ac:dyDescent="0.3">
      <c r="A8" s="984"/>
      <c r="B8" s="991"/>
      <c r="C8" s="984"/>
      <c r="D8" s="984" t="s">
        <v>31</v>
      </c>
      <c r="E8" s="984" t="s">
        <v>31</v>
      </c>
      <c r="F8" s="984" t="s">
        <v>32</v>
      </c>
      <c r="G8" s="984" t="s">
        <v>33</v>
      </c>
      <c r="H8" s="984" t="s">
        <v>34</v>
      </c>
      <c r="I8" s="984"/>
      <c r="J8" s="984"/>
      <c r="K8" s="984"/>
      <c r="L8" s="984"/>
      <c r="M8" s="984"/>
      <c r="N8" s="984"/>
      <c r="O8" s="981"/>
      <c r="P8" s="981"/>
      <c r="Q8" s="981"/>
      <c r="R8" s="986"/>
      <c r="S8" s="986"/>
      <c r="T8" s="986"/>
      <c r="U8" s="983"/>
      <c r="V8" s="983"/>
      <c r="W8" s="983"/>
    </row>
    <row r="9" spans="1:23" ht="63" customHeight="1" x14ac:dyDescent="0.3">
      <c r="A9" s="985"/>
      <c r="B9" s="992"/>
      <c r="C9" s="985"/>
      <c r="D9" s="985" t="s">
        <v>35</v>
      </c>
      <c r="E9" s="985" t="s">
        <v>35</v>
      </c>
      <c r="F9" s="985"/>
      <c r="G9" s="985" t="s">
        <v>36</v>
      </c>
      <c r="H9" s="985" t="s">
        <v>32</v>
      </c>
      <c r="I9" s="985"/>
      <c r="J9" s="985"/>
      <c r="K9" s="985"/>
      <c r="L9" s="985"/>
      <c r="M9" s="985"/>
      <c r="N9" s="985"/>
      <c r="O9" s="982"/>
      <c r="P9" s="982"/>
      <c r="Q9" s="982"/>
      <c r="R9" s="986"/>
      <c r="S9" s="986"/>
      <c r="T9" s="986"/>
      <c r="U9" s="983"/>
      <c r="V9" s="983"/>
      <c r="W9" s="983"/>
    </row>
    <row r="10" spans="1:23" s="615" customFormat="1" ht="15.75" customHeight="1" x14ac:dyDescent="0.3">
      <c r="A10" s="609" t="s">
        <v>37</v>
      </c>
      <c r="B10" s="610">
        <v>2</v>
      </c>
      <c r="C10" s="611">
        <v>3</v>
      </c>
      <c r="D10" s="609" t="s">
        <v>38</v>
      </c>
      <c r="E10" s="609" t="s">
        <v>38</v>
      </c>
      <c r="F10" s="612">
        <v>5</v>
      </c>
      <c r="G10" s="611">
        <v>6</v>
      </c>
      <c r="H10" s="612">
        <v>7</v>
      </c>
      <c r="I10" s="612">
        <v>12</v>
      </c>
      <c r="J10" s="612">
        <v>13</v>
      </c>
      <c r="K10" s="612">
        <v>14</v>
      </c>
      <c r="L10" s="612">
        <v>8</v>
      </c>
      <c r="M10" s="612">
        <v>16</v>
      </c>
      <c r="N10" s="612">
        <v>17</v>
      </c>
      <c r="O10" s="613">
        <v>9</v>
      </c>
      <c r="P10" s="612">
        <v>10</v>
      </c>
      <c r="Q10" s="612"/>
      <c r="R10" s="614"/>
      <c r="S10" s="614"/>
      <c r="T10" s="614"/>
      <c r="U10" s="611">
        <v>11</v>
      </c>
      <c r="V10" s="611">
        <v>12</v>
      </c>
      <c r="W10" s="611">
        <v>13</v>
      </c>
    </row>
    <row r="11" spans="1:23" x14ac:dyDescent="0.3">
      <c r="A11" s="616" t="s">
        <v>37</v>
      </c>
      <c r="B11" s="617" t="s">
        <v>39</v>
      </c>
      <c r="C11" s="618" t="s">
        <v>40</v>
      </c>
      <c r="D11" s="619" t="s">
        <v>41</v>
      </c>
      <c r="E11" s="619" t="s">
        <v>42</v>
      </c>
      <c r="F11" s="620">
        <f>F13</f>
        <v>28.39</v>
      </c>
      <c r="G11" s="621">
        <f>0.53-0.17</f>
        <v>0.36</v>
      </c>
      <c r="H11" s="622">
        <f t="shared" ref="H11:H23" si="0">F11*G11</f>
        <v>10.220000000000001</v>
      </c>
      <c r="I11" s="622">
        <f t="shared" ref="I11:I24" si="1">H11*10%</f>
        <v>1.02</v>
      </c>
      <c r="J11" s="622">
        <f t="shared" ref="J11:J23" si="2">H11*26.3%</f>
        <v>2.69</v>
      </c>
      <c r="K11" s="622">
        <f t="shared" ref="K11:K23" si="3">H11*196.2%</f>
        <v>20.05</v>
      </c>
      <c r="L11" s="622">
        <f>SUM(H11:K11)</f>
        <v>33.979999999999997</v>
      </c>
      <c r="M11" s="622">
        <f t="shared" ref="M11:M23" si="4">L11*10%</f>
        <v>3.4</v>
      </c>
      <c r="N11" s="622">
        <f t="shared" ref="N11:N24" si="5">(L11+M11)*18%</f>
        <v>6.73</v>
      </c>
      <c r="O11" s="622">
        <f>P11*12</f>
        <v>43.2</v>
      </c>
      <c r="P11" s="622">
        <f>S11</f>
        <v>3.6</v>
      </c>
      <c r="Q11" s="622">
        <f>L11+M11+N11</f>
        <v>44.11</v>
      </c>
      <c r="R11" s="623"/>
      <c r="S11" s="624">
        <f>ROUNDDOWN(Q11/12,1)</f>
        <v>3.6</v>
      </c>
      <c r="T11" s="624">
        <f>S11*12</f>
        <v>43.2</v>
      </c>
      <c r="U11" s="618">
        <f t="shared" ref="U11:U26" si="6">P11*0.8</f>
        <v>2.88</v>
      </c>
      <c r="V11" s="618">
        <f t="shared" ref="V11:V26" si="7">P11*0.7</f>
        <v>2.52</v>
      </c>
      <c r="W11" s="618">
        <f t="shared" ref="W11:W26" si="8">P11*0.6</f>
        <v>2.16</v>
      </c>
    </row>
    <row r="12" spans="1:23" x14ac:dyDescent="0.3">
      <c r="A12" s="626" t="s">
        <v>43</v>
      </c>
      <c r="B12" s="627" t="s">
        <v>44</v>
      </c>
      <c r="C12" s="628" t="s">
        <v>45</v>
      </c>
      <c r="D12" s="629" t="s">
        <v>41</v>
      </c>
      <c r="E12" s="629" t="s">
        <v>42</v>
      </c>
      <c r="F12" s="630">
        <f>$F$11</f>
        <v>28.39</v>
      </c>
      <c r="G12" s="630">
        <f>0.62-0.17</f>
        <v>0.45</v>
      </c>
      <c r="H12" s="631">
        <f t="shared" si="0"/>
        <v>12.78</v>
      </c>
      <c r="I12" s="631">
        <f t="shared" si="1"/>
        <v>1.28</v>
      </c>
      <c r="J12" s="631">
        <f t="shared" si="2"/>
        <v>3.36</v>
      </c>
      <c r="K12" s="631">
        <f t="shared" si="3"/>
        <v>25.07</v>
      </c>
      <c r="L12" s="631">
        <f t="shared" ref="L12:L23" si="9">SUM(H12:K12)</f>
        <v>42.49</v>
      </c>
      <c r="M12" s="631">
        <f t="shared" si="4"/>
        <v>4.25</v>
      </c>
      <c r="N12" s="631">
        <f t="shared" si="5"/>
        <v>8.41</v>
      </c>
      <c r="O12" s="631">
        <f t="shared" ref="O12:O23" si="10">P12*12</f>
        <v>54</v>
      </c>
      <c r="P12" s="631">
        <f>S12</f>
        <v>4.5</v>
      </c>
      <c r="Q12" s="631">
        <f t="shared" ref="Q12:Q23" si="11">L12+M12+N12</f>
        <v>55.15</v>
      </c>
      <c r="R12" s="632"/>
      <c r="S12" s="633">
        <f t="shared" ref="S12:S23" si="12">ROUNDDOWN(Q12/12,1)</f>
        <v>4.5</v>
      </c>
      <c r="T12" s="633">
        <f t="shared" ref="T12:T24" si="13">S12*12</f>
        <v>54</v>
      </c>
      <c r="U12" s="628">
        <f t="shared" si="6"/>
        <v>3.6</v>
      </c>
      <c r="V12" s="628">
        <f t="shared" si="7"/>
        <v>3.15</v>
      </c>
      <c r="W12" s="628">
        <f t="shared" si="8"/>
        <v>2.7</v>
      </c>
    </row>
    <row r="13" spans="1:23" s="592" customFormat="1" x14ac:dyDescent="0.3">
      <c r="A13" s="635" t="s">
        <v>46</v>
      </c>
      <c r="B13" s="636" t="s">
        <v>47</v>
      </c>
      <c r="C13" s="637" t="s">
        <v>45</v>
      </c>
      <c r="D13" s="629" t="s">
        <v>41</v>
      </c>
      <c r="E13" s="638" t="s">
        <v>42</v>
      </c>
      <c r="F13" s="639">
        <v>28.39</v>
      </c>
      <c r="G13" s="630">
        <f>0.7-0.17</f>
        <v>0.53</v>
      </c>
      <c r="H13" s="640">
        <f t="shared" si="0"/>
        <v>15.05</v>
      </c>
      <c r="I13" s="640">
        <f t="shared" si="1"/>
        <v>1.51</v>
      </c>
      <c r="J13" s="640">
        <f t="shared" si="2"/>
        <v>3.96</v>
      </c>
      <c r="K13" s="640">
        <f t="shared" si="3"/>
        <v>29.53</v>
      </c>
      <c r="L13" s="631">
        <f t="shared" si="9"/>
        <v>50.05</v>
      </c>
      <c r="M13" s="631">
        <f t="shared" si="4"/>
        <v>5.01</v>
      </c>
      <c r="N13" s="631">
        <f t="shared" si="5"/>
        <v>9.91</v>
      </c>
      <c r="O13" s="631">
        <f t="shared" si="10"/>
        <v>64.8</v>
      </c>
      <c r="P13" s="631">
        <f t="shared" ref="P13:P23" si="14">S13</f>
        <v>5.4</v>
      </c>
      <c r="Q13" s="631">
        <f t="shared" si="11"/>
        <v>64.97</v>
      </c>
      <c r="R13" s="641">
        <f>F13*165</f>
        <v>4684</v>
      </c>
      <c r="S13" s="633">
        <f t="shared" si="12"/>
        <v>5.4</v>
      </c>
      <c r="T13" s="633">
        <f t="shared" si="13"/>
        <v>64.8</v>
      </c>
      <c r="U13" s="628">
        <f t="shared" si="6"/>
        <v>4.32</v>
      </c>
      <c r="V13" s="628">
        <f t="shared" si="7"/>
        <v>3.78</v>
      </c>
      <c r="W13" s="628">
        <f t="shared" si="8"/>
        <v>3.24</v>
      </c>
    </row>
    <row r="14" spans="1:23" s="646" customFormat="1" ht="31.2" x14ac:dyDescent="0.3">
      <c r="A14" s="635" t="s">
        <v>38</v>
      </c>
      <c r="B14" s="643" t="s">
        <v>48</v>
      </c>
      <c r="C14" s="637" t="s">
        <v>40</v>
      </c>
      <c r="D14" s="629" t="s">
        <v>41</v>
      </c>
      <c r="E14" s="638" t="s">
        <v>42</v>
      </c>
      <c r="F14" s="630">
        <f>F13</f>
        <v>28.39</v>
      </c>
      <c r="G14" s="630">
        <f>0.88-0.17</f>
        <v>0.71</v>
      </c>
      <c r="H14" s="631">
        <f t="shared" si="0"/>
        <v>20.16</v>
      </c>
      <c r="I14" s="631">
        <f t="shared" si="1"/>
        <v>2.02</v>
      </c>
      <c r="J14" s="631">
        <f t="shared" si="2"/>
        <v>5.3</v>
      </c>
      <c r="K14" s="631">
        <f t="shared" si="3"/>
        <v>39.549999999999997</v>
      </c>
      <c r="L14" s="631">
        <f t="shared" si="9"/>
        <v>67.03</v>
      </c>
      <c r="M14" s="631">
        <f t="shared" si="4"/>
        <v>6.7</v>
      </c>
      <c r="N14" s="631">
        <f t="shared" si="5"/>
        <v>13.27</v>
      </c>
      <c r="O14" s="631">
        <f t="shared" si="10"/>
        <v>86.4</v>
      </c>
      <c r="P14" s="631">
        <f>S14</f>
        <v>7.2</v>
      </c>
      <c r="Q14" s="631">
        <f>L14+M14+N14</f>
        <v>87</v>
      </c>
      <c r="R14" s="644"/>
      <c r="S14" s="645">
        <f t="shared" si="12"/>
        <v>7.2</v>
      </c>
      <c r="T14" s="645">
        <f>S14*12</f>
        <v>86.4</v>
      </c>
      <c r="U14" s="628">
        <f t="shared" si="6"/>
        <v>5.76</v>
      </c>
      <c r="V14" s="628">
        <f t="shared" si="7"/>
        <v>5.04</v>
      </c>
      <c r="W14" s="628">
        <f t="shared" si="8"/>
        <v>4.32</v>
      </c>
    </row>
    <row r="15" spans="1:23" x14ac:dyDescent="0.3">
      <c r="A15" s="626" t="s">
        <v>49</v>
      </c>
      <c r="B15" s="627" t="s">
        <v>50</v>
      </c>
      <c r="C15" s="628" t="s">
        <v>45</v>
      </c>
      <c r="D15" s="629" t="s">
        <v>41</v>
      </c>
      <c r="E15" s="629" t="s">
        <v>42</v>
      </c>
      <c r="F15" s="630">
        <f>$F$11</f>
        <v>28.39</v>
      </c>
      <c r="G15" s="630">
        <v>0.32</v>
      </c>
      <c r="H15" s="631">
        <f t="shared" si="0"/>
        <v>9.08</v>
      </c>
      <c r="I15" s="631">
        <f t="shared" si="1"/>
        <v>0.91</v>
      </c>
      <c r="J15" s="631">
        <f t="shared" si="2"/>
        <v>2.39</v>
      </c>
      <c r="K15" s="631">
        <f t="shared" si="3"/>
        <v>17.809999999999999</v>
      </c>
      <c r="L15" s="631">
        <f t="shared" si="9"/>
        <v>30.19</v>
      </c>
      <c r="M15" s="631">
        <f t="shared" si="4"/>
        <v>3.02</v>
      </c>
      <c r="N15" s="631">
        <f t="shared" si="5"/>
        <v>5.98</v>
      </c>
      <c r="O15" s="631">
        <f t="shared" si="10"/>
        <v>38.4</v>
      </c>
      <c r="P15" s="631">
        <f t="shared" si="14"/>
        <v>3.2</v>
      </c>
      <c r="Q15" s="631">
        <f t="shared" si="11"/>
        <v>39.19</v>
      </c>
      <c r="R15" s="644"/>
      <c r="S15" s="645">
        <f t="shared" si="12"/>
        <v>3.2</v>
      </c>
      <c r="T15" s="645">
        <f t="shared" si="13"/>
        <v>38.4</v>
      </c>
      <c r="U15" s="628">
        <f t="shared" si="6"/>
        <v>2.56</v>
      </c>
      <c r="V15" s="628">
        <f t="shared" si="7"/>
        <v>2.2400000000000002</v>
      </c>
      <c r="W15" s="628">
        <f t="shared" si="8"/>
        <v>1.92</v>
      </c>
    </row>
    <row r="16" spans="1:23" ht="16.5" customHeight="1" x14ac:dyDescent="0.3">
      <c r="A16" s="626" t="s">
        <v>51</v>
      </c>
      <c r="B16" s="643" t="s">
        <v>52</v>
      </c>
      <c r="C16" s="637" t="s">
        <v>53</v>
      </c>
      <c r="D16" s="638" t="s">
        <v>42</v>
      </c>
      <c r="E16" s="638" t="s">
        <v>54</v>
      </c>
      <c r="F16" s="639">
        <f>R16/165</f>
        <v>36.619999999999997</v>
      </c>
      <c r="G16" s="630">
        <f>0.93-0.17</f>
        <v>0.76</v>
      </c>
      <c r="H16" s="631">
        <f t="shared" si="0"/>
        <v>27.83</v>
      </c>
      <c r="I16" s="631">
        <f t="shared" si="1"/>
        <v>2.78</v>
      </c>
      <c r="J16" s="631">
        <f t="shared" si="2"/>
        <v>7.32</v>
      </c>
      <c r="K16" s="631">
        <f t="shared" si="3"/>
        <v>54.6</v>
      </c>
      <c r="L16" s="631">
        <f t="shared" si="9"/>
        <v>92.53</v>
      </c>
      <c r="M16" s="631">
        <f t="shared" si="4"/>
        <v>9.25</v>
      </c>
      <c r="N16" s="631">
        <f t="shared" si="5"/>
        <v>18.32</v>
      </c>
      <c r="O16" s="631">
        <f t="shared" si="10"/>
        <v>120</v>
      </c>
      <c r="P16" s="631">
        <f t="shared" si="14"/>
        <v>10</v>
      </c>
      <c r="Q16" s="631">
        <f t="shared" si="11"/>
        <v>120.1</v>
      </c>
      <c r="R16" s="641">
        <f>R13*1.29</f>
        <v>6042</v>
      </c>
      <c r="S16" s="645">
        <f t="shared" si="12"/>
        <v>10</v>
      </c>
      <c r="T16" s="645">
        <f t="shared" si="13"/>
        <v>120</v>
      </c>
      <c r="U16" s="628">
        <f t="shared" si="6"/>
        <v>8</v>
      </c>
      <c r="V16" s="628">
        <f t="shared" si="7"/>
        <v>7</v>
      </c>
      <c r="W16" s="628">
        <f t="shared" si="8"/>
        <v>6</v>
      </c>
    </row>
    <row r="17" spans="1:23" x14ac:dyDescent="0.3">
      <c r="A17" s="626" t="s">
        <v>55</v>
      </c>
      <c r="B17" s="627" t="s">
        <v>56</v>
      </c>
      <c r="C17" s="628" t="s">
        <v>45</v>
      </c>
      <c r="D17" s="629" t="s">
        <v>41</v>
      </c>
      <c r="E17" s="629" t="s">
        <v>42</v>
      </c>
      <c r="F17" s="630">
        <f>$F$11</f>
        <v>28.39</v>
      </c>
      <c r="G17" s="630">
        <f>0.77-0.17</f>
        <v>0.6</v>
      </c>
      <c r="H17" s="631">
        <f t="shared" si="0"/>
        <v>17.03</v>
      </c>
      <c r="I17" s="631">
        <f t="shared" si="1"/>
        <v>1.7</v>
      </c>
      <c r="J17" s="631">
        <f t="shared" si="2"/>
        <v>4.4800000000000004</v>
      </c>
      <c r="K17" s="631">
        <f t="shared" si="3"/>
        <v>33.409999999999997</v>
      </c>
      <c r="L17" s="631">
        <f t="shared" si="9"/>
        <v>56.62</v>
      </c>
      <c r="M17" s="631">
        <f t="shared" si="4"/>
        <v>5.66</v>
      </c>
      <c r="N17" s="631">
        <f t="shared" si="5"/>
        <v>11.21</v>
      </c>
      <c r="O17" s="631">
        <f t="shared" si="10"/>
        <v>73.2</v>
      </c>
      <c r="P17" s="631">
        <f t="shared" si="14"/>
        <v>6.1</v>
      </c>
      <c r="Q17" s="631">
        <f t="shared" si="11"/>
        <v>73.489999999999995</v>
      </c>
      <c r="R17" s="641"/>
      <c r="S17" s="645">
        <f t="shared" si="12"/>
        <v>6.1</v>
      </c>
      <c r="T17" s="645">
        <f t="shared" si="13"/>
        <v>73.2</v>
      </c>
      <c r="U17" s="628">
        <f t="shared" si="6"/>
        <v>4.88</v>
      </c>
      <c r="V17" s="628">
        <f t="shared" si="7"/>
        <v>4.2699999999999996</v>
      </c>
      <c r="W17" s="628">
        <f t="shared" si="8"/>
        <v>3.66</v>
      </c>
    </row>
    <row r="18" spans="1:23" x14ac:dyDescent="0.3">
      <c r="A18" s="626" t="s">
        <v>57</v>
      </c>
      <c r="B18" s="647" t="s">
        <v>58</v>
      </c>
      <c r="C18" s="628" t="s">
        <v>45</v>
      </c>
      <c r="D18" s="629" t="s">
        <v>42</v>
      </c>
      <c r="E18" s="629" t="s">
        <v>54</v>
      </c>
      <c r="F18" s="630">
        <f>$F$16</f>
        <v>36.619999999999997</v>
      </c>
      <c r="G18" s="630">
        <f>1.24-0.17</f>
        <v>1.07</v>
      </c>
      <c r="H18" s="631">
        <f t="shared" si="0"/>
        <v>39.18</v>
      </c>
      <c r="I18" s="631">
        <f t="shared" si="1"/>
        <v>3.92</v>
      </c>
      <c r="J18" s="631">
        <f t="shared" si="2"/>
        <v>10.3</v>
      </c>
      <c r="K18" s="631">
        <f t="shared" si="3"/>
        <v>76.87</v>
      </c>
      <c r="L18" s="631">
        <f t="shared" si="9"/>
        <v>130.27000000000001</v>
      </c>
      <c r="M18" s="631">
        <f t="shared" si="4"/>
        <v>13.03</v>
      </c>
      <c r="N18" s="631">
        <f t="shared" si="5"/>
        <v>25.79</v>
      </c>
      <c r="O18" s="631">
        <f t="shared" si="10"/>
        <v>168</v>
      </c>
      <c r="P18" s="631">
        <f t="shared" si="14"/>
        <v>14</v>
      </c>
      <c r="Q18" s="631">
        <f t="shared" si="11"/>
        <v>169.09</v>
      </c>
      <c r="R18" s="632"/>
      <c r="S18" s="633">
        <f t="shared" si="12"/>
        <v>14</v>
      </c>
      <c r="T18" s="633">
        <f t="shared" si="13"/>
        <v>168</v>
      </c>
      <c r="U18" s="628">
        <f t="shared" si="6"/>
        <v>11.2</v>
      </c>
      <c r="V18" s="628">
        <f t="shared" si="7"/>
        <v>9.8000000000000007</v>
      </c>
      <c r="W18" s="628">
        <f t="shared" si="8"/>
        <v>8.4</v>
      </c>
    </row>
    <row r="19" spans="1:23" x14ac:dyDescent="0.3">
      <c r="A19" s="626" t="s">
        <v>59</v>
      </c>
      <c r="B19" s="647" t="s">
        <v>60</v>
      </c>
      <c r="C19" s="628" t="s">
        <v>45</v>
      </c>
      <c r="D19" s="629" t="s">
        <v>42</v>
      </c>
      <c r="E19" s="629" t="s">
        <v>54</v>
      </c>
      <c r="F19" s="630">
        <f>$F$16</f>
        <v>36.619999999999997</v>
      </c>
      <c r="G19" s="630">
        <f>2.4-0.17</f>
        <v>2.23</v>
      </c>
      <c r="H19" s="631">
        <f t="shared" si="0"/>
        <v>81.66</v>
      </c>
      <c r="I19" s="631">
        <f t="shared" si="1"/>
        <v>8.17</v>
      </c>
      <c r="J19" s="631">
        <f t="shared" si="2"/>
        <v>21.48</v>
      </c>
      <c r="K19" s="631">
        <f t="shared" si="3"/>
        <v>160.22</v>
      </c>
      <c r="L19" s="631">
        <f t="shared" si="9"/>
        <v>271.52999999999997</v>
      </c>
      <c r="M19" s="631">
        <f t="shared" si="4"/>
        <v>27.15</v>
      </c>
      <c r="N19" s="631">
        <f t="shared" si="5"/>
        <v>53.76</v>
      </c>
      <c r="O19" s="631">
        <f t="shared" si="10"/>
        <v>351.6</v>
      </c>
      <c r="P19" s="631">
        <f t="shared" si="14"/>
        <v>29.3</v>
      </c>
      <c r="Q19" s="631">
        <f t="shared" si="11"/>
        <v>352.44</v>
      </c>
      <c r="R19" s="632"/>
      <c r="S19" s="633">
        <f t="shared" si="12"/>
        <v>29.3</v>
      </c>
      <c r="T19" s="633">
        <f t="shared" si="13"/>
        <v>351.6</v>
      </c>
      <c r="U19" s="628">
        <f t="shared" si="6"/>
        <v>23.44</v>
      </c>
      <c r="V19" s="628">
        <f t="shared" si="7"/>
        <v>20.51</v>
      </c>
      <c r="W19" s="628">
        <f t="shared" si="8"/>
        <v>17.579999999999998</v>
      </c>
    </row>
    <row r="20" spans="1:23" s="592" customFormat="1" ht="33" customHeight="1" x14ac:dyDescent="0.3">
      <c r="A20" s="626" t="s">
        <v>61</v>
      </c>
      <c r="B20" s="643" t="s">
        <v>62</v>
      </c>
      <c r="C20" s="637" t="str">
        <f>C19</f>
        <v>"</v>
      </c>
      <c r="D20" s="638" t="s">
        <v>54</v>
      </c>
      <c r="E20" s="638" t="s">
        <v>54</v>
      </c>
      <c r="F20" s="640">
        <v>45.78</v>
      </c>
      <c r="G20" s="640">
        <f>3.64-0.17</f>
        <v>3.47</v>
      </c>
      <c r="H20" s="640">
        <f t="shared" si="0"/>
        <v>158.86000000000001</v>
      </c>
      <c r="I20" s="640">
        <f t="shared" si="1"/>
        <v>15.89</v>
      </c>
      <c r="J20" s="640">
        <f t="shared" si="2"/>
        <v>41.78</v>
      </c>
      <c r="K20" s="631">
        <f t="shared" si="3"/>
        <v>311.68</v>
      </c>
      <c r="L20" s="631">
        <f t="shared" si="9"/>
        <v>528.21</v>
      </c>
      <c r="M20" s="631">
        <f t="shared" si="4"/>
        <v>52.82</v>
      </c>
      <c r="N20" s="631">
        <f t="shared" si="5"/>
        <v>104.59</v>
      </c>
      <c r="O20" s="631">
        <f t="shared" si="10"/>
        <v>685.2</v>
      </c>
      <c r="P20" s="631">
        <f>S20</f>
        <v>57.1</v>
      </c>
      <c r="Q20" s="631">
        <f t="shared" si="11"/>
        <v>685.62</v>
      </c>
      <c r="R20" s="644"/>
      <c r="S20" s="633">
        <f t="shared" si="12"/>
        <v>57.1</v>
      </c>
      <c r="T20" s="633">
        <f t="shared" si="13"/>
        <v>685.2</v>
      </c>
      <c r="U20" s="628">
        <f t="shared" si="6"/>
        <v>45.68</v>
      </c>
      <c r="V20" s="628">
        <f t="shared" si="7"/>
        <v>39.97</v>
      </c>
      <c r="W20" s="628">
        <f t="shared" si="8"/>
        <v>34.26</v>
      </c>
    </row>
    <row r="21" spans="1:23" x14ac:dyDescent="0.3">
      <c r="A21" s="626" t="s">
        <v>63</v>
      </c>
      <c r="B21" s="627" t="s">
        <v>64</v>
      </c>
      <c r="C21" s="628" t="s">
        <v>65</v>
      </c>
      <c r="D21" s="629" t="s">
        <v>41</v>
      </c>
      <c r="E21" s="629" t="s">
        <v>42</v>
      </c>
      <c r="F21" s="630">
        <f>$F$11</f>
        <v>28.39</v>
      </c>
      <c r="G21" s="630">
        <f>0.73-0.17</f>
        <v>0.56000000000000005</v>
      </c>
      <c r="H21" s="631">
        <f t="shared" si="0"/>
        <v>15.9</v>
      </c>
      <c r="I21" s="631">
        <f t="shared" si="1"/>
        <v>1.59</v>
      </c>
      <c r="J21" s="631">
        <f t="shared" si="2"/>
        <v>4.18</v>
      </c>
      <c r="K21" s="631">
        <f t="shared" si="3"/>
        <v>31.2</v>
      </c>
      <c r="L21" s="631">
        <f t="shared" si="9"/>
        <v>52.87</v>
      </c>
      <c r="M21" s="631">
        <f t="shared" si="4"/>
        <v>5.29</v>
      </c>
      <c r="N21" s="631">
        <f t="shared" si="5"/>
        <v>10.47</v>
      </c>
      <c r="O21" s="631">
        <f t="shared" si="10"/>
        <v>68.400000000000006</v>
      </c>
      <c r="P21" s="631">
        <f t="shared" si="14"/>
        <v>5.7</v>
      </c>
      <c r="Q21" s="631">
        <f t="shared" si="11"/>
        <v>68.63</v>
      </c>
      <c r="R21" s="632"/>
      <c r="S21" s="633">
        <f t="shared" si="12"/>
        <v>5.7</v>
      </c>
      <c r="T21" s="633">
        <f t="shared" si="13"/>
        <v>68.400000000000006</v>
      </c>
      <c r="U21" s="628">
        <f t="shared" si="6"/>
        <v>4.5599999999999996</v>
      </c>
      <c r="V21" s="628">
        <f t="shared" si="7"/>
        <v>3.99</v>
      </c>
      <c r="W21" s="628">
        <f t="shared" si="8"/>
        <v>3.42</v>
      </c>
    </row>
    <row r="22" spans="1:23" ht="31.2" x14ac:dyDescent="0.3">
      <c r="A22" s="626" t="s">
        <v>66</v>
      </c>
      <c r="B22" s="647" t="s">
        <v>67</v>
      </c>
      <c r="C22" s="628" t="s">
        <v>45</v>
      </c>
      <c r="D22" s="629" t="s">
        <v>42</v>
      </c>
      <c r="E22" s="629" t="s">
        <v>54</v>
      </c>
      <c r="F22" s="630">
        <f>$F$16</f>
        <v>36.619999999999997</v>
      </c>
      <c r="G22" s="630">
        <v>0.5</v>
      </c>
      <c r="H22" s="631">
        <f t="shared" si="0"/>
        <v>18.309999999999999</v>
      </c>
      <c r="I22" s="631">
        <f t="shared" si="1"/>
        <v>1.83</v>
      </c>
      <c r="J22" s="631">
        <f t="shared" si="2"/>
        <v>4.82</v>
      </c>
      <c r="K22" s="631">
        <f t="shared" si="3"/>
        <v>35.92</v>
      </c>
      <c r="L22" s="631">
        <f t="shared" si="9"/>
        <v>60.88</v>
      </c>
      <c r="M22" s="631">
        <f t="shared" si="4"/>
        <v>6.09</v>
      </c>
      <c r="N22" s="631">
        <f t="shared" si="5"/>
        <v>12.05</v>
      </c>
      <c r="O22" s="631">
        <f t="shared" si="10"/>
        <v>78</v>
      </c>
      <c r="P22" s="631">
        <f t="shared" si="14"/>
        <v>6.5</v>
      </c>
      <c r="Q22" s="631">
        <f t="shared" si="11"/>
        <v>79.02</v>
      </c>
      <c r="R22" s="632"/>
      <c r="S22" s="633">
        <f t="shared" si="12"/>
        <v>6.5</v>
      </c>
      <c r="T22" s="633">
        <f t="shared" si="13"/>
        <v>78</v>
      </c>
      <c r="U22" s="628">
        <f t="shared" si="6"/>
        <v>5.2</v>
      </c>
      <c r="V22" s="628">
        <f t="shared" si="7"/>
        <v>4.55</v>
      </c>
      <c r="W22" s="628">
        <f t="shared" si="8"/>
        <v>3.9</v>
      </c>
    </row>
    <row r="23" spans="1:23" s="592" customFormat="1" x14ac:dyDescent="0.3">
      <c r="A23" s="626" t="s">
        <v>68</v>
      </c>
      <c r="B23" s="636" t="s">
        <v>69</v>
      </c>
      <c r="C23" s="637" t="s">
        <v>70</v>
      </c>
      <c r="D23" s="638" t="s">
        <v>42</v>
      </c>
      <c r="E23" s="638" t="s">
        <v>54</v>
      </c>
      <c r="F23" s="630">
        <f>$F$16</f>
        <v>36.619999999999997</v>
      </c>
      <c r="G23" s="630">
        <v>0.3</v>
      </c>
      <c r="H23" s="631">
        <f t="shared" si="0"/>
        <v>10.99</v>
      </c>
      <c r="I23" s="640">
        <f t="shared" si="1"/>
        <v>1.1000000000000001</v>
      </c>
      <c r="J23" s="640">
        <f t="shared" si="2"/>
        <v>2.89</v>
      </c>
      <c r="K23" s="640">
        <f t="shared" si="3"/>
        <v>21.56</v>
      </c>
      <c r="L23" s="631">
        <f t="shared" si="9"/>
        <v>36.54</v>
      </c>
      <c r="M23" s="631">
        <f t="shared" si="4"/>
        <v>3.65</v>
      </c>
      <c r="N23" s="631">
        <f t="shared" si="5"/>
        <v>7.23</v>
      </c>
      <c r="O23" s="631">
        <f t="shared" si="10"/>
        <v>46.8</v>
      </c>
      <c r="P23" s="631">
        <f t="shared" si="14"/>
        <v>3.9</v>
      </c>
      <c r="Q23" s="631">
        <f t="shared" si="11"/>
        <v>47.42</v>
      </c>
      <c r="R23" s="644"/>
      <c r="S23" s="633">
        <f t="shared" si="12"/>
        <v>3.9</v>
      </c>
      <c r="T23" s="633">
        <f t="shared" si="13"/>
        <v>46.8</v>
      </c>
      <c r="U23" s="628">
        <f t="shared" si="6"/>
        <v>3.12</v>
      </c>
      <c r="V23" s="628">
        <f t="shared" si="7"/>
        <v>2.73</v>
      </c>
      <c r="W23" s="628">
        <f t="shared" si="8"/>
        <v>2.34</v>
      </c>
    </row>
    <row r="24" spans="1:23" x14ac:dyDescent="0.3">
      <c r="A24" s="626" t="s">
        <v>71</v>
      </c>
      <c r="B24" s="647" t="s">
        <v>72</v>
      </c>
      <c r="C24" s="648" t="s">
        <v>73</v>
      </c>
      <c r="D24" s="638" t="s">
        <v>42</v>
      </c>
      <c r="E24" s="629"/>
      <c r="F24" s="630">
        <f>$F$16</f>
        <v>36.619999999999997</v>
      </c>
      <c r="G24" s="630">
        <v>0.17</v>
      </c>
      <c r="H24" s="631">
        <f>F24*G24</f>
        <v>6.23</v>
      </c>
      <c r="I24" s="640">
        <f t="shared" si="1"/>
        <v>0.62</v>
      </c>
      <c r="J24" s="640">
        <f>H24*26.3%</f>
        <v>1.64</v>
      </c>
      <c r="K24" s="640">
        <f>H24*196.2%</f>
        <v>12.22</v>
      </c>
      <c r="L24" s="631">
        <f>SUM(H24:K24)</f>
        <v>20.71</v>
      </c>
      <c r="M24" s="631">
        <f>L24*10%</f>
        <v>2.0699999999999998</v>
      </c>
      <c r="N24" s="631">
        <f t="shared" si="5"/>
        <v>4.0999999999999996</v>
      </c>
      <c r="O24" s="631">
        <f>P24*12</f>
        <v>26.4</v>
      </c>
      <c r="P24" s="631">
        <f>S24</f>
        <v>2.2000000000000002</v>
      </c>
      <c r="Q24" s="631">
        <f>L24+M24+N24</f>
        <v>26.88</v>
      </c>
      <c r="R24" s="632"/>
      <c r="S24" s="633">
        <f>ROUNDDOWN(Q24/12,1)</f>
        <v>2.2000000000000002</v>
      </c>
      <c r="T24" s="633">
        <f t="shared" si="13"/>
        <v>26.4</v>
      </c>
      <c r="U24" s="628">
        <f t="shared" si="6"/>
        <v>1.76</v>
      </c>
      <c r="V24" s="628">
        <f t="shared" si="7"/>
        <v>1.54</v>
      </c>
      <c r="W24" s="628">
        <f t="shared" si="8"/>
        <v>1.32</v>
      </c>
    </row>
    <row r="25" spans="1:23" ht="15" customHeight="1" x14ac:dyDescent="0.3">
      <c r="A25" s="626" t="s">
        <v>74</v>
      </c>
      <c r="B25" s="653" t="s">
        <v>75</v>
      </c>
      <c r="C25" s="628"/>
      <c r="D25" s="629"/>
      <c r="E25" s="629"/>
      <c r="F25" s="630"/>
      <c r="G25" s="630"/>
      <c r="H25" s="649"/>
      <c r="I25" s="649"/>
      <c r="J25" s="649"/>
      <c r="K25" s="649"/>
      <c r="L25" s="649"/>
      <c r="M25" s="649"/>
      <c r="N25" s="649"/>
      <c r="O25" s="649">
        <f>P25*12</f>
        <v>114</v>
      </c>
      <c r="P25" s="631">
        <v>9.5</v>
      </c>
      <c r="Q25" s="631"/>
      <c r="R25" s="632"/>
      <c r="S25" s="632"/>
      <c r="T25" s="632"/>
      <c r="U25" s="628">
        <f t="shared" si="6"/>
        <v>7.6</v>
      </c>
      <c r="V25" s="628">
        <f t="shared" si="7"/>
        <v>6.65</v>
      </c>
      <c r="W25" s="628">
        <f t="shared" si="8"/>
        <v>5.7</v>
      </c>
    </row>
    <row r="26" spans="1:23" ht="15" customHeight="1" x14ac:dyDescent="0.3">
      <c r="A26" s="654" t="s">
        <v>76</v>
      </c>
      <c r="B26" s="655" t="s">
        <v>77</v>
      </c>
      <c r="C26" s="656"/>
      <c r="D26" s="657"/>
      <c r="E26" s="657"/>
      <c r="F26" s="658"/>
      <c r="G26" s="658"/>
      <c r="H26" s="659"/>
      <c r="I26" s="659"/>
      <c r="J26" s="659"/>
      <c r="K26" s="659"/>
      <c r="L26" s="659"/>
      <c r="M26" s="659"/>
      <c r="N26" s="659"/>
      <c r="O26" s="659">
        <f>P26*12</f>
        <v>30</v>
      </c>
      <c r="P26" s="660">
        <v>2.5</v>
      </c>
      <c r="Q26" s="660"/>
      <c r="R26" s="661"/>
      <c r="S26" s="661"/>
      <c r="T26" s="661"/>
      <c r="U26" s="659">
        <f t="shared" si="6"/>
        <v>2</v>
      </c>
      <c r="V26" s="656">
        <f t="shared" si="7"/>
        <v>1.75</v>
      </c>
      <c r="W26" s="656">
        <f t="shared" si="8"/>
        <v>1.5</v>
      </c>
    </row>
    <row r="27" spans="1:23" s="603" customFormat="1" x14ac:dyDescent="0.3">
      <c r="A27" s="663"/>
      <c r="B27" s="664"/>
      <c r="C27" s="665"/>
      <c r="D27" s="663"/>
      <c r="E27" s="663"/>
      <c r="F27" s="666"/>
      <c r="G27" s="666"/>
      <c r="H27" s="667"/>
      <c r="I27" s="668"/>
      <c r="J27" s="668"/>
      <c r="K27" s="668"/>
      <c r="L27" s="668"/>
      <c r="M27" s="668"/>
      <c r="N27" s="668"/>
      <c r="O27" s="668"/>
      <c r="P27" s="668"/>
      <c r="Q27" s="668"/>
      <c r="R27" s="602"/>
      <c r="S27" s="602"/>
      <c r="T27" s="602"/>
    </row>
    <row r="28" spans="1:23" x14ac:dyDescent="0.3">
      <c r="A28" s="979" t="s">
        <v>78</v>
      </c>
      <c r="B28" s="979"/>
      <c r="C28" s="979"/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669"/>
    </row>
    <row r="29" spans="1:23" x14ac:dyDescent="0.3">
      <c r="A29" s="604"/>
      <c r="B29" s="605"/>
      <c r="C29" s="670"/>
      <c r="D29" s="604"/>
      <c r="E29" s="604"/>
      <c r="F29" s="671"/>
      <c r="G29" s="671"/>
      <c r="H29" s="669"/>
      <c r="I29" s="669"/>
      <c r="J29" s="669"/>
      <c r="K29" s="669"/>
      <c r="L29" s="669"/>
      <c r="M29" s="669"/>
      <c r="N29" s="669"/>
      <c r="O29" s="669"/>
      <c r="P29" s="669"/>
      <c r="Q29" s="669"/>
    </row>
    <row r="30" spans="1:23" x14ac:dyDescent="0.3">
      <c r="A30" s="604"/>
      <c r="B30" s="672"/>
      <c r="C30" s="670"/>
      <c r="D30" s="604"/>
      <c r="E30" s="604"/>
      <c r="F30" s="671"/>
      <c r="G30" s="671"/>
      <c r="H30" s="669"/>
      <c r="I30" s="669"/>
      <c r="J30" s="669"/>
      <c r="K30" s="669"/>
      <c r="L30" s="669"/>
      <c r="M30" s="669"/>
      <c r="N30" s="669"/>
      <c r="O30" s="669"/>
      <c r="P30" s="669"/>
      <c r="Q30" s="669"/>
    </row>
    <row r="31" spans="1:23" x14ac:dyDescent="0.3">
      <c r="A31" s="604"/>
      <c r="C31" s="670"/>
      <c r="D31" s="604"/>
      <c r="E31" s="604"/>
      <c r="F31" s="673"/>
      <c r="G31" s="674"/>
      <c r="H31" s="669"/>
      <c r="I31" s="669"/>
      <c r="J31" s="669"/>
      <c r="K31" s="669"/>
      <c r="L31" s="669"/>
      <c r="M31" s="669"/>
      <c r="N31" s="669"/>
      <c r="O31" s="669"/>
      <c r="P31" s="669"/>
      <c r="Q31" s="669"/>
    </row>
    <row r="32" spans="1:23" x14ac:dyDescent="0.3">
      <c r="A32" s="604"/>
      <c r="B32" s="605" t="s">
        <v>79</v>
      </c>
      <c r="C32" s="670"/>
      <c r="D32" s="604"/>
      <c r="E32" s="604"/>
      <c r="F32" s="673"/>
      <c r="G32" s="674"/>
      <c r="H32" s="669"/>
      <c r="I32" s="605"/>
      <c r="J32" s="605"/>
      <c r="K32" s="605"/>
      <c r="L32" s="605"/>
      <c r="M32" s="605"/>
      <c r="N32" s="605"/>
      <c r="O32" s="669"/>
      <c r="P32" s="605"/>
      <c r="Q32" s="605"/>
    </row>
    <row r="33" spans="1:20" s="605" customFormat="1" ht="12.75" customHeight="1" x14ac:dyDescent="0.3">
      <c r="A33" s="670"/>
      <c r="B33" s="672"/>
      <c r="F33" s="607"/>
      <c r="G33" s="607"/>
      <c r="Q33" s="675"/>
      <c r="R33" s="676"/>
      <c r="S33" s="676"/>
      <c r="T33" s="676"/>
    </row>
  </sheetData>
  <sheetProtection password="C763" sheet="1" objects="1" scenarios="1"/>
  <mergeCells count="25">
    <mergeCell ref="A2:P2"/>
    <mergeCell ref="A3:P3"/>
    <mergeCell ref="A4:P4"/>
    <mergeCell ref="A6:A9"/>
    <mergeCell ref="B6:B9"/>
    <mergeCell ref="D6:D9"/>
    <mergeCell ref="E6:E9"/>
    <mergeCell ref="F6:F9"/>
    <mergeCell ref="G6:G9"/>
    <mergeCell ref="W6:W9"/>
    <mergeCell ref="A28:P28"/>
    <mergeCell ref="N6:N9"/>
    <mergeCell ref="O6:O9"/>
    <mergeCell ref="P6:P9"/>
    <mergeCell ref="Q6:Q9"/>
    <mergeCell ref="R6:T9"/>
    <mergeCell ref="U6:U9"/>
    <mergeCell ref="H6:H9"/>
    <mergeCell ref="C6:C9"/>
    <mergeCell ref="V6:V9"/>
    <mergeCell ref="I6:I9"/>
    <mergeCell ref="J6:J9"/>
    <mergeCell ref="K6:K9"/>
    <mergeCell ref="L6:L9"/>
    <mergeCell ref="M6:M9"/>
  </mergeCells>
  <printOptions horizontalCentered="1"/>
  <pageMargins left="7.874015748031496E-2" right="7.874015748031496E-2" top="1.4960629921259843" bottom="0" header="0" footer="0.51181102362204722"/>
  <pageSetup paperSize="9" scale="76" fitToHeight="0" orientation="landscape" blackAndWhite="1" horizontalDpi="4294967292" r:id="rId1"/>
  <headerFooter alignWithMargins="0">
    <oddHeader>&amp;R&amp;"Garamond,обычный"&amp;14Приложение № 3 к Приказу № ______ от "_____"____________ 2006 г.
"УТВЕРЖДАЮ"
Генеральный директор ООО "СВГК"
_______________ С.В. Мирошниченко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7"/>
  <sheetViews>
    <sheetView showZeros="0" view="pageBreakPreview" topLeftCell="A13" zoomScale="75" zoomScaleNormal="100" workbookViewId="0">
      <selection activeCell="A109" sqref="A109"/>
    </sheetView>
  </sheetViews>
  <sheetFormatPr defaultColWidth="9" defaultRowHeight="13.2" outlineLevelRow="1" outlineLevelCol="1" x14ac:dyDescent="0.25"/>
  <cols>
    <col min="1" max="1" width="5.19921875" style="529" customWidth="1"/>
    <col min="2" max="2" width="54" style="422" customWidth="1"/>
    <col min="3" max="3" width="8.5" style="422" customWidth="1"/>
    <col min="4" max="4" width="0.8984375" style="422" hidden="1" customWidth="1" outlineLevel="1"/>
    <col min="5" max="5" width="10.59765625" style="422" customWidth="1" collapsed="1"/>
    <col min="6" max="6" width="7.69921875" style="422" customWidth="1"/>
    <col min="7" max="7" width="8.3984375" style="422" customWidth="1" outlineLevel="1"/>
    <col min="8" max="10" width="9.3984375" style="422" customWidth="1" outlineLevel="1"/>
    <col min="11" max="11" width="11.19921875" style="422" customWidth="1" outlineLevel="1"/>
    <col min="12" max="12" width="8.3984375" style="688" customWidth="1"/>
    <col min="13" max="13" width="9" style="422"/>
    <col min="14" max="14" width="8" style="422" hidden="1" customWidth="1" outlineLevel="1"/>
    <col min="15" max="15" width="9.09765625" style="422" hidden="1" customWidth="1" outlineLevel="1"/>
    <col min="16" max="16" width="9.8984375" style="422" hidden="1" customWidth="1" outlineLevel="1"/>
    <col min="17" max="17" width="7.8984375" style="422" customWidth="1" collapsed="1"/>
    <col min="18" max="19" width="9.19921875" style="422" hidden="1" customWidth="1" outlineLevel="1"/>
    <col min="20" max="20" width="10.19921875" style="422" customWidth="1" collapsed="1"/>
    <col min="21" max="23" width="11.19921875" style="422" customWidth="1"/>
    <col min="24" max="24" width="9" style="422"/>
    <col min="25" max="25" width="8.09765625" style="422" bestFit="1" customWidth="1"/>
    <col min="26" max="16384" width="9" style="422"/>
  </cols>
  <sheetData>
    <row r="1" spans="1:28" ht="15" customHeight="1" x14ac:dyDescent="0.25">
      <c r="A1" s="1005" t="s">
        <v>4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677"/>
    </row>
    <row r="2" spans="1:28" ht="15" customHeight="1" x14ac:dyDescent="0.25">
      <c r="A2" s="1005" t="s">
        <v>1423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5"/>
      <c r="R2" s="1005"/>
      <c r="S2" s="1005"/>
      <c r="T2" s="1005"/>
      <c r="U2" s="1005"/>
      <c r="V2" s="1005"/>
      <c r="W2" s="677"/>
    </row>
    <row r="3" spans="1:28" hidden="1" x14ac:dyDescent="0.25">
      <c r="A3" s="494"/>
      <c r="D3" s="421"/>
      <c r="E3" s="421"/>
      <c r="F3" s="423"/>
      <c r="G3" s="423"/>
      <c r="H3" s="423"/>
      <c r="I3" s="423"/>
      <c r="J3" s="423"/>
      <c r="K3" s="423"/>
      <c r="L3" s="678"/>
    </row>
    <row r="4" spans="1:28" hidden="1" x14ac:dyDescent="0.25">
      <c r="A4" s="494"/>
      <c r="D4" s="421"/>
      <c r="E4" s="421"/>
      <c r="F4" s="423"/>
      <c r="G4" s="423"/>
      <c r="H4" s="423"/>
      <c r="I4" s="423"/>
      <c r="J4" s="423"/>
      <c r="K4" s="423"/>
      <c r="L4" s="678"/>
    </row>
    <row r="5" spans="1:28" ht="12.75" hidden="1" customHeight="1" x14ac:dyDescent="0.25">
      <c r="A5" s="494"/>
      <c r="D5" s="421"/>
      <c r="E5" s="421"/>
      <c r="F5" s="423"/>
      <c r="G5" s="423"/>
      <c r="H5" s="423"/>
      <c r="I5" s="423"/>
      <c r="J5" s="423"/>
      <c r="K5" s="423"/>
      <c r="L5" s="678"/>
    </row>
    <row r="6" spans="1:28" ht="12" hidden="1" customHeight="1" x14ac:dyDescent="0.25">
      <c r="A6" s="679" t="s">
        <v>1419</v>
      </c>
      <c r="B6" s="424"/>
      <c r="C6" s="424"/>
      <c r="D6" s="425"/>
      <c r="E6" s="425"/>
      <c r="F6" s="426"/>
      <c r="G6" s="426"/>
      <c r="H6" s="426"/>
      <c r="I6" s="426"/>
      <c r="J6" s="426"/>
      <c r="K6" s="426"/>
      <c r="L6" s="680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</row>
    <row r="7" spans="1:28" ht="12.75" hidden="1" customHeight="1" x14ac:dyDescent="0.25">
      <c r="A7" s="681"/>
      <c r="B7" s="427"/>
      <c r="C7" s="424"/>
      <c r="D7" s="425"/>
      <c r="E7" s="425"/>
      <c r="F7" s="426"/>
      <c r="G7" s="426"/>
      <c r="H7" s="426"/>
      <c r="I7" s="426"/>
      <c r="J7" s="426"/>
      <c r="K7" s="426"/>
      <c r="L7" s="680"/>
      <c r="M7" s="424"/>
      <c r="N7" s="424"/>
      <c r="O7" s="424"/>
      <c r="P7" s="424"/>
      <c r="Q7" s="427"/>
      <c r="R7" s="424"/>
      <c r="S7" s="424"/>
      <c r="T7" s="424"/>
      <c r="U7" s="424"/>
      <c r="V7" s="424"/>
      <c r="W7" s="424"/>
    </row>
    <row r="8" spans="1:28" ht="12.75" hidden="1" customHeight="1" x14ac:dyDescent="0.25">
      <c r="A8" s="494"/>
      <c r="B8" s="424"/>
      <c r="C8" s="424"/>
      <c r="D8" s="425"/>
      <c r="E8" s="425"/>
      <c r="F8" s="426"/>
      <c r="G8" s="426"/>
      <c r="H8" s="426"/>
      <c r="I8" s="426"/>
      <c r="J8" s="426"/>
      <c r="K8" s="426"/>
      <c r="L8" s="680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</row>
    <row r="9" spans="1:28" s="688" customFormat="1" ht="15.75" hidden="1" customHeight="1" x14ac:dyDescent="0.25">
      <c r="A9" s="682" t="s">
        <v>272</v>
      </c>
      <c r="B9" s="683"/>
      <c r="C9" s="683"/>
      <c r="D9" s="684"/>
      <c r="E9" s="684"/>
      <c r="F9" s="685"/>
      <c r="G9" s="685"/>
      <c r="H9" s="686"/>
      <c r="I9" s="686"/>
      <c r="J9" s="686"/>
      <c r="K9" s="686"/>
      <c r="L9" s="686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</row>
    <row r="10" spans="1:28" x14ac:dyDescent="0.25">
      <c r="A10" s="483"/>
      <c r="B10" s="430"/>
      <c r="C10" s="430"/>
      <c r="D10" s="429"/>
      <c r="E10" s="429"/>
      <c r="F10" s="431"/>
      <c r="G10" s="431"/>
      <c r="H10" s="431"/>
      <c r="I10" s="431"/>
      <c r="J10" s="431"/>
      <c r="K10" s="431"/>
      <c r="L10" s="689"/>
    </row>
    <row r="11" spans="1:28" ht="12.75" customHeight="1" x14ac:dyDescent="0.25">
      <c r="A11" s="1006" t="s">
        <v>7</v>
      </c>
      <c r="B11" s="1007" t="s">
        <v>8</v>
      </c>
      <c r="C11" s="999" t="s">
        <v>9</v>
      </c>
      <c r="D11" s="690" t="s">
        <v>275</v>
      </c>
      <c r="E11" s="999" t="s">
        <v>82</v>
      </c>
      <c r="F11" s="999" t="s">
        <v>11</v>
      </c>
      <c r="G11" s="999" t="s">
        <v>12</v>
      </c>
      <c r="H11" s="1012" t="s">
        <v>1424</v>
      </c>
      <c r="I11" s="1013"/>
      <c r="J11" s="1013"/>
      <c r="K11" s="1013"/>
      <c r="L11" s="1002" t="s">
        <v>1425</v>
      </c>
      <c r="M11" s="999" t="s">
        <v>13</v>
      </c>
      <c r="N11" s="999" t="s">
        <v>14</v>
      </c>
      <c r="O11" s="999" t="s">
        <v>15</v>
      </c>
      <c r="P11" s="999" t="s">
        <v>16</v>
      </c>
      <c r="Q11" s="999" t="s">
        <v>17</v>
      </c>
      <c r="R11" s="999" t="s">
        <v>18</v>
      </c>
      <c r="S11" s="999" t="s">
        <v>19</v>
      </c>
      <c r="T11" s="999" t="s">
        <v>83</v>
      </c>
      <c r="U11" s="999" t="s">
        <v>1426</v>
      </c>
      <c r="V11" s="999" t="s">
        <v>1427</v>
      </c>
      <c r="W11" s="691"/>
    </row>
    <row r="12" spans="1:28" ht="12.75" customHeight="1" x14ac:dyDescent="0.25">
      <c r="A12" s="1000"/>
      <c r="B12" s="1008"/>
      <c r="C12" s="1000" t="s">
        <v>23</v>
      </c>
      <c r="D12" s="475" t="s">
        <v>281</v>
      </c>
      <c r="E12" s="1000" t="s">
        <v>24</v>
      </c>
      <c r="F12" s="1000" t="s">
        <v>25</v>
      </c>
      <c r="G12" s="1000" t="s">
        <v>26</v>
      </c>
      <c r="H12" s="1000" t="s">
        <v>1428</v>
      </c>
      <c r="I12" s="1000" t="s">
        <v>1429</v>
      </c>
      <c r="J12" s="1000" t="s">
        <v>1430</v>
      </c>
      <c r="K12" s="1000" t="s">
        <v>1431</v>
      </c>
      <c r="L12" s="1003"/>
      <c r="M12" s="1000" t="s">
        <v>27</v>
      </c>
      <c r="N12" s="1000"/>
      <c r="O12" s="1000"/>
      <c r="P12" s="1000"/>
      <c r="Q12" s="1000"/>
      <c r="R12" s="1000"/>
      <c r="S12" s="1000"/>
      <c r="T12" s="1010"/>
      <c r="U12" s="1010"/>
      <c r="V12" s="1010"/>
      <c r="W12" s="691"/>
    </row>
    <row r="13" spans="1:28" x14ac:dyDescent="0.25">
      <c r="A13" s="1000"/>
      <c r="B13" s="1008"/>
      <c r="C13" s="1000"/>
      <c r="D13" s="475" t="s">
        <v>31</v>
      </c>
      <c r="E13" s="1000" t="s">
        <v>31</v>
      </c>
      <c r="F13" s="1000" t="s">
        <v>32</v>
      </c>
      <c r="G13" s="1000" t="s">
        <v>33</v>
      </c>
      <c r="H13" s="1000"/>
      <c r="I13" s="1000"/>
      <c r="J13" s="1000"/>
      <c r="K13" s="1000"/>
      <c r="L13" s="1003"/>
      <c r="M13" s="1000" t="s">
        <v>34</v>
      </c>
      <c r="N13" s="1000"/>
      <c r="O13" s="1000"/>
      <c r="P13" s="1000"/>
      <c r="Q13" s="1000"/>
      <c r="R13" s="1000"/>
      <c r="S13" s="1000"/>
      <c r="T13" s="1010"/>
      <c r="U13" s="1010"/>
      <c r="V13" s="1010"/>
      <c r="W13" s="691"/>
    </row>
    <row r="14" spans="1:28" ht="84" customHeight="1" x14ac:dyDescent="0.25">
      <c r="A14" s="1001"/>
      <c r="B14" s="1009"/>
      <c r="C14" s="1001"/>
      <c r="D14" s="692"/>
      <c r="E14" s="1001" t="s">
        <v>35</v>
      </c>
      <c r="F14" s="1001"/>
      <c r="G14" s="1001" t="s">
        <v>36</v>
      </c>
      <c r="H14" s="1001"/>
      <c r="I14" s="1001"/>
      <c r="J14" s="1001"/>
      <c r="K14" s="1001"/>
      <c r="L14" s="1004"/>
      <c r="M14" s="1001" t="s">
        <v>32</v>
      </c>
      <c r="N14" s="1001"/>
      <c r="O14" s="1001"/>
      <c r="P14" s="1001"/>
      <c r="Q14" s="1001"/>
      <c r="R14" s="1001"/>
      <c r="S14" s="1001"/>
      <c r="T14" s="1011"/>
      <c r="U14" s="1011"/>
      <c r="V14" s="1011"/>
      <c r="W14" s="693"/>
      <c r="X14" s="422">
        <f>1+0.1+0.263+1.962</f>
        <v>3.3250000000000002</v>
      </c>
      <c r="Y14" s="422" t="s">
        <v>1432</v>
      </c>
    </row>
    <row r="15" spans="1:28" s="703" customFormat="1" ht="54.75" customHeight="1" x14ac:dyDescent="0.25">
      <c r="A15" s="694" t="s">
        <v>37</v>
      </c>
      <c r="B15" s="695">
        <v>2</v>
      </c>
      <c r="C15" s="696">
        <v>3</v>
      </c>
      <c r="D15" s="694" t="s">
        <v>46</v>
      </c>
      <c r="E15" s="694" t="s">
        <v>38</v>
      </c>
      <c r="F15" s="697">
        <v>5</v>
      </c>
      <c r="G15" s="696">
        <v>5</v>
      </c>
      <c r="H15" s="698" t="s">
        <v>1433</v>
      </c>
      <c r="I15" s="698">
        <v>7</v>
      </c>
      <c r="J15" s="698" t="s">
        <v>1434</v>
      </c>
      <c r="K15" s="698" t="s">
        <v>1435</v>
      </c>
      <c r="L15" s="698">
        <v>6</v>
      </c>
      <c r="M15" s="697">
        <v>7</v>
      </c>
      <c r="N15" s="697">
        <v>12</v>
      </c>
      <c r="O15" s="697">
        <v>13</v>
      </c>
      <c r="P15" s="697">
        <v>14</v>
      </c>
      <c r="Q15" s="697">
        <v>8</v>
      </c>
      <c r="R15" s="697">
        <v>16</v>
      </c>
      <c r="S15" s="697">
        <v>17</v>
      </c>
      <c r="T15" s="699">
        <v>9</v>
      </c>
      <c r="U15" s="697">
        <v>10</v>
      </c>
      <c r="V15" s="697">
        <v>11</v>
      </c>
      <c r="W15" s="700"/>
      <c r="X15" s="701"/>
      <c r="Y15" s="688"/>
      <c r="Z15" s="701"/>
      <c r="AA15" s="702"/>
    </row>
    <row r="16" spans="1:28" ht="13.8" x14ac:dyDescent="0.25">
      <c r="A16" s="475" t="s">
        <v>37</v>
      </c>
      <c r="B16" s="460" t="s">
        <v>39</v>
      </c>
      <c r="C16" s="445" t="s">
        <v>40</v>
      </c>
      <c r="D16" s="475" t="s">
        <v>290</v>
      </c>
      <c r="E16" s="475" t="s">
        <v>42</v>
      </c>
      <c r="F16" s="704">
        <f>'[13]Факт з_п +25% население ТО'!F16</f>
        <v>41.43</v>
      </c>
      <c r="G16" s="705">
        <v>0.74</v>
      </c>
      <c r="H16" s="705">
        <f t="shared" ref="H16:H60" si="0">G16/1.44</f>
        <v>0.51</v>
      </c>
      <c r="I16" s="705">
        <v>0.25</v>
      </c>
      <c r="J16" s="706">
        <f>I16/K16</f>
        <v>1.6E-2</v>
      </c>
      <c r="K16" s="707">
        <f>8/H16</f>
        <v>16</v>
      </c>
      <c r="L16" s="708">
        <f>H16+J16</f>
        <v>0.53</v>
      </c>
      <c r="M16" s="709">
        <f t="shared" ref="M16:M60" si="1">F16*L16</f>
        <v>21.96</v>
      </c>
      <c r="N16" s="709">
        <f t="shared" ref="N16:N60" si="2">M16*10%</f>
        <v>2.2000000000000002</v>
      </c>
      <c r="O16" s="709">
        <f t="shared" ref="O16:O60" si="3">M16*26.3%</f>
        <v>5.78</v>
      </c>
      <c r="P16" s="709">
        <f t="shared" ref="P16:P60" si="4">M16*196.2%</f>
        <v>43.09</v>
      </c>
      <c r="Q16" s="709">
        <f t="shared" ref="Q16:Q60" si="5">M16+N16+O16+P16</f>
        <v>73.03</v>
      </c>
      <c r="R16" s="709">
        <f t="shared" ref="R16:R60" si="6">T16/1.18-Q16</f>
        <v>7.48</v>
      </c>
      <c r="S16" s="709">
        <f t="shared" ref="S16:S60" si="7">(Q16+R16)*18%</f>
        <v>14.49</v>
      </c>
      <c r="T16" s="709">
        <f t="shared" ref="T16:T60" si="8">ROUND(Q16*1.298,0)</f>
        <v>95</v>
      </c>
      <c r="U16" s="709">
        <f t="shared" ref="U16:U60" si="9">T16/12</f>
        <v>7.92</v>
      </c>
      <c r="V16" s="709">
        <f>T16/36</f>
        <v>2.64</v>
      </c>
      <c r="W16" s="472">
        <f t="shared" ref="W16:W43" si="10">T16/36</f>
        <v>2.64</v>
      </c>
      <c r="X16" s="574">
        <f t="shared" ref="X16:X60" si="11">M16+N16+O16+P16</f>
        <v>73.03</v>
      </c>
      <c r="Y16" s="422" t="b">
        <f t="shared" ref="Y16:Y60" si="12">Q16=X16</f>
        <v>1</v>
      </c>
      <c r="Z16" s="574">
        <f t="shared" ref="Z16:Z60" si="13">Q16+R16+S16</f>
        <v>95</v>
      </c>
      <c r="AA16" s="710">
        <f t="shared" ref="AA16:AA60" si="14">R16/Q16</f>
        <v>0.1</v>
      </c>
      <c r="AB16" s="422">
        <f>M16*3.325</f>
        <v>73.016999999999996</v>
      </c>
    </row>
    <row r="17" spans="1:27" ht="13.8" x14ac:dyDescent="0.25">
      <c r="A17" s="475" t="s">
        <v>43</v>
      </c>
      <c r="B17" s="460" t="s">
        <v>44</v>
      </c>
      <c r="C17" s="445" t="s">
        <v>45</v>
      </c>
      <c r="D17" s="475" t="s">
        <v>290</v>
      </c>
      <c r="E17" s="475" t="s">
        <v>42</v>
      </c>
      <c r="F17" s="705">
        <f>$F$16</f>
        <v>41.43</v>
      </c>
      <c r="G17" s="705">
        <v>0.86</v>
      </c>
      <c r="H17" s="705">
        <f t="shared" si="0"/>
        <v>0.6</v>
      </c>
      <c r="I17" s="705">
        <v>0.25</v>
      </c>
      <c r="J17" s="706">
        <f>I17/K17</f>
        <v>1.9E-2</v>
      </c>
      <c r="K17" s="707">
        <f>8/H17</f>
        <v>13</v>
      </c>
      <c r="L17" s="708">
        <f t="shared" ref="L17:L60" si="15">H17+J17</f>
        <v>0.62</v>
      </c>
      <c r="M17" s="709">
        <f t="shared" si="1"/>
        <v>25.69</v>
      </c>
      <c r="N17" s="709">
        <f t="shared" si="2"/>
        <v>2.57</v>
      </c>
      <c r="O17" s="709">
        <f t="shared" si="3"/>
        <v>6.76</v>
      </c>
      <c r="P17" s="709">
        <f t="shared" si="4"/>
        <v>50.4</v>
      </c>
      <c r="Q17" s="709">
        <f t="shared" si="5"/>
        <v>85.42</v>
      </c>
      <c r="R17" s="709">
        <f t="shared" si="6"/>
        <v>8.65</v>
      </c>
      <c r="S17" s="709">
        <f t="shared" si="7"/>
        <v>16.93</v>
      </c>
      <c r="T17" s="709">
        <f t="shared" si="8"/>
        <v>111</v>
      </c>
      <c r="U17" s="709">
        <f t="shared" si="9"/>
        <v>9.25</v>
      </c>
      <c r="V17" s="709">
        <f t="shared" ref="V17:V47" si="16">T17/36</f>
        <v>3.08</v>
      </c>
      <c r="W17" s="472">
        <f t="shared" si="10"/>
        <v>3.08</v>
      </c>
      <c r="X17" s="574">
        <f t="shared" si="11"/>
        <v>85.42</v>
      </c>
      <c r="Y17" s="422" t="b">
        <f t="shared" si="12"/>
        <v>1</v>
      </c>
      <c r="Z17" s="574">
        <f t="shared" si="13"/>
        <v>111</v>
      </c>
      <c r="AA17" s="710">
        <f t="shared" si="14"/>
        <v>0.1</v>
      </c>
    </row>
    <row r="18" spans="1:27" s="714" customFormat="1" ht="13.8" x14ac:dyDescent="0.25">
      <c r="A18" s="711" t="s">
        <v>46</v>
      </c>
      <c r="B18" s="712" t="s">
        <v>47</v>
      </c>
      <c r="C18" s="519" t="s">
        <v>45</v>
      </c>
      <c r="D18" s="711" t="s">
        <v>290</v>
      </c>
      <c r="E18" s="711" t="s">
        <v>42</v>
      </c>
      <c r="F18" s="705">
        <f>$F$16</f>
        <v>41.43</v>
      </c>
      <c r="G18" s="705">
        <v>0.98</v>
      </c>
      <c r="H18" s="705">
        <f t="shared" si="0"/>
        <v>0.68</v>
      </c>
      <c r="I18" s="705">
        <v>0.25</v>
      </c>
      <c r="J18" s="706">
        <f>I18/K18</f>
        <v>2.1000000000000001E-2</v>
      </c>
      <c r="K18" s="707">
        <f>8/H18</f>
        <v>12</v>
      </c>
      <c r="L18" s="708">
        <f>H18+J18</f>
        <v>0.7</v>
      </c>
      <c r="M18" s="713">
        <f t="shared" si="1"/>
        <v>29</v>
      </c>
      <c r="N18" s="709">
        <f t="shared" si="2"/>
        <v>2.9</v>
      </c>
      <c r="O18" s="709">
        <f t="shared" si="3"/>
        <v>7.63</v>
      </c>
      <c r="P18" s="709">
        <f t="shared" si="4"/>
        <v>56.9</v>
      </c>
      <c r="Q18" s="709">
        <f t="shared" si="5"/>
        <v>96.43</v>
      </c>
      <c r="R18" s="709">
        <f t="shared" si="6"/>
        <v>9.5</v>
      </c>
      <c r="S18" s="709">
        <f t="shared" si="7"/>
        <v>19.07</v>
      </c>
      <c r="T18" s="709">
        <f t="shared" si="8"/>
        <v>125</v>
      </c>
      <c r="U18" s="709">
        <f t="shared" si="9"/>
        <v>10.42</v>
      </c>
      <c r="V18" s="709">
        <f t="shared" si="16"/>
        <v>3.47</v>
      </c>
      <c r="W18" s="472">
        <f t="shared" si="10"/>
        <v>3.47</v>
      </c>
      <c r="X18" s="574">
        <f t="shared" si="11"/>
        <v>96.43</v>
      </c>
      <c r="Y18" s="422" t="b">
        <f t="shared" si="12"/>
        <v>1</v>
      </c>
      <c r="Z18" s="574">
        <f t="shared" si="13"/>
        <v>125</v>
      </c>
      <c r="AA18" s="710">
        <f t="shared" si="14"/>
        <v>0.1</v>
      </c>
    </row>
    <row r="19" spans="1:27" s="714" customFormat="1" ht="26.4" x14ac:dyDescent="0.25">
      <c r="A19" s="715" t="s">
        <v>38</v>
      </c>
      <c r="B19" s="716" t="s">
        <v>1436</v>
      </c>
      <c r="C19" s="519"/>
      <c r="D19" s="711"/>
      <c r="E19" s="711" t="s">
        <v>42</v>
      </c>
      <c r="F19" s="705">
        <f>F18</f>
        <v>41.43</v>
      </c>
      <c r="G19" s="705"/>
      <c r="H19" s="705"/>
      <c r="I19" s="705"/>
      <c r="J19" s="706"/>
      <c r="K19" s="707"/>
      <c r="L19" s="708">
        <f>L18*1.25</f>
        <v>0.88</v>
      </c>
      <c r="M19" s="713">
        <f>F19*L19</f>
        <v>36.46</v>
      </c>
      <c r="N19" s="709">
        <f>M19*10%</f>
        <v>3.65</v>
      </c>
      <c r="O19" s="709">
        <f>M19*26.3%</f>
        <v>9.59</v>
      </c>
      <c r="P19" s="709">
        <f>M19*196.2%</f>
        <v>71.53</v>
      </c>
      <c r="Q19" s="709">
        <f>M19+N19+O19+P19</f>
        <v>121.23</v>
      </c>
      <c r="R19" s="709">
        <f>T19/1.18-Q19</f>
        <v>11.82</v>
      </c>
      <c r="S19" s="709">
        <f>(Q19+R19)*18%</f>
        <v>23.95</v>
      </c>
      <c r="T19" s="709">
        <f>ROUND(Q19*1.298,0)</f>
        <v>157</v>
      </c>
      <c r="U19" s="709">
        <f t="shared" si="9"/>
        <v>13.08</v>
      </c>
      <c r="V19" s="709">
        <f t="shared" si="16"/>
        <v>4.3600000000000003</v>
      </c>
      <c r="W19" s="472">
        <f>T19/36</f>
        <v>4.3600000000000003</v>
      </c>
      <c r="X19" s="574">
        <f>M19+N19+O19+P19</f>
        <v>121.23</v>
      </c>
      <c r="Y19" s="422" t="b">
        <f>Q19=X19</f>
        <v>1</v>
      </c>
      <c r="Z19" s="574">
        <f>Q19+R19+S19</f>
        <v>157</v>
      </c>
      <c r="AA19" s="710">
        <f>R19/Q19</f>
        <v>0.1</v>
      </c>
    </row>
    <row r="20" spans="1:27" ht="18" hidden="1" customHeight="1" outlineLevel="1" x14ac:dyDescent="0.25">
      <c r="A20" s="475" t="s">
        <v>291</v>
      </c>
      <c r="B20" s="460" t="s">
        <v>292</v>
      </c>
      <c r="C20" s="465" t="s">
        <v>293</v>
      </c>
      <c r="D20" s="475" t="s">
        <v>41</v>
      </c>
      <c r="E20" s="475" t="s">
        <v>42</v>
      </c>
      <c r="F20" s="705">
        <f>$F$16</f>
        <v>41.43</v>
      </c>
      <c r="G20" s="705">
        <v>0.81</v>
      </c>
      <c r="H20" s="705">
        <f t="shared" si="0"/>
        <v>0.56000000000000005</v>
      </c>
      <c r="I20" s="705">
        <v>0.25</v>
      </c>
      <c r="J20" s="706">
        <f>I20/K20</f>
        <v>1.7999999999999999E-2</v>
      </c>
      <c r="K20" s="707">
        <f>8/H20</f>
        <v>14</v>
      </c>
      <c r="L20" s="708">
        <f t="shared" si="15"/>
        <v>0.57999999999999996</v>
      </c>
      <c r="M20" s="709">
        <f t="shared" si="1"/>
        <v>24.03</v>
      </c>
      <c r="N20" s="709">
        <f t="shared" si="2"/>
        <v>2.4</v>
      </c>
      <c r="O20" s="709">
        <f t="shared" si="3"/>
        <v>6.32</v>
      </c>
      <c r="P20" s="709">
        <f t="shared" si="4"/>
        <v>47.15</v>
      </c>
      <c r="Q20" s="709">
        <f t="shared" si="5"/>
        <v>79.900000000000006</v>
      </c>
      <c r="R20" s="709">
        <f t="shared" si="6"/>
        <v>8.24</v>
      </c>
      <c r="S20" s="709">
        <f t="shared" si="7"/>
        <v>15.87</v>
      </c>
      <c r="T20" s="709">
        <f t="shared" si="8"/>
        <v>104</v>
      </c>
      <c r="U20" s="709">
        <f t="shared" si="9"/>
        <v>8.67</v>
      </c>
      <c r="V20" s="709">
        <f t="shared" si="16"/>
        <v>2.89</v>
      </c>
      <c r="W20" s="472">
        <f t="shared" si="10"/>
        <v>2.89</v>
      </c>
      <c r="X20" s="574">
        <f t="shared" si="11"/>
        <v>79.900000000000006</v>
      </c>
      <c r="Y20" s="422" t="b">
        <f t="shared" si="12"/>
        <v>1</v>
      </c>
      <c r="Z20" s="574">
        <f t="shared" si="13"/>
        <v>104.01</v>
      </c>
      <c r="AA20" s="710">
        <f t="shared" si="14"/>
        <v>0.1</v>
      </c>
    </row>
    <row r="21" spans="1:27" ht="13.8" hidden="1" outlineLevel="1" x14ac:dyDescent="0.25">
      <c r="A21" s="475"/>
      <c r="B21" s="460" t="s">
        <v>294</v>
      </c>
      <c r="C21" s="445"/>
      <c r="D21" s="475"/>
      <c r="E21" s="475"/>
      <c r="F21" s="705"/>
      <c r="G21" s="705"/>
      <c r="H21" s="705">
        <f t="shared" si="0"/>
        <v>0</v>
      </c>
      <c r="I21" s="705"/>
      <c r="J21" s="706"/>
      <c r="K21" s="707"/>
      <c r="L21" s="708">
        <f t="shared" si="15"/>
        <v>0</v>
      </c>
      <c r="M21" s="709">
        <f t="shared" si="1"/>
        <v>0</v>
      </c>
      <c r="N21" s="709">
        <f t="shared" si="2"/>
        <v>0</v>
      </c>
      <c r="O21" s="709">
        <f t="shared" si="3"/>
        <v>0</v>
      </c>
      <c r="P21" s="709">
        <f t="shared" si="4"/>
        <v>0</v>
      </c>
      <c r="Q21" s="709">
        <f t="shared" si="5"/>
        <v>0</v>
      </c>
      <c r="R21" s="709">
        <f t="shared" si="6"/>
        <v>0</v>
      </c>
      <c r="S21" s="709">
        <f t="shared" si="7"/>
        <v>0</v>
      </c>
      <c r="T21" s="709">
        <f t="shared" si="8"/>
        <v>0</v>
      </c>
      <c r="U21" s="709">
        <f t="shared" si="9"/>
        <v>0</v>
      </c>
      <c r="V21" s="709">
        <f t="shared" si="16"/>
        <v>0</v>
      </c>
      <c r="W21" s="472">
        <f t="shared" si="10"/>
        <v>0</v>
      </c>
      <c r="X21" s="574">
        <f t="shared" si="11"/>
        <v>0</v>
      </c>
      <c r="Y21" s="422" t="b">
        <f t="shared" si="12"/>
        <v>1</v>
      </c>
      <c r="Z21" s="574">
        <f t="shared" si="13"/>
        <v>0</v>
      </c>
      <c r="AA21" s="710" t="e">
        <f t="shared" si="14"/>
        <v>#DIV/0!</v>
      </c>
    </row>
    <row r="22" spans="1:27" ht="18" hidden="1" customHeight="1" outlineLevel="1" x14ac:dyDescent="0.25">
      <c r="A22" s="475" t="s">
        <v>295</v>
      </c>
      <c r="B22" s="460" t="s">
        <v>296</v>
      </c>
      <c r="C22" s="445" t="s">
        <v>45</v>
      </c>
      <c r="D22" s="475" t="s">
        <v>41</v>
      </c>
      <c r="E22" s="475" t="s">
        <v>42</v>
      </c>
      <c r="F22" s="705">
        <f>$F$16</f>
        <v>41.43</v>
      </c>
      <c r="G22" s="705">
        <v>0.95</v>
      </c>
      <c r="H22" s="705">
        <f t="shared" si="0"/>
        <v>0.66</v>
      </c>
      <c r="I22" s="705">
        <v>0.25</v>
      </c>
      <c r="J22" s="706">
        <f>I22/K22</f>
        <v>2.1000000000000001E-2</v>
      </c>
      <c r="K22" s="707">
        <f>8/H22</f>
        <v>12</v>
      </c>
      <c r="L22" s="708">
        <f t="shared" si="15"/>
        <v>0.68</v>
      </c>
      <c r="M22" s="709">
        <f t="shared" si="1"/>
        <v>28.17</v>
      </c>
      <c r="N22" s="709">
        <f t="shared" si="2"/>
        <v>2.82</v>
      </c>
      <c r="O22" s="709">
        <f t="shared" si="3"/>
        <v>7.41</v>
      </c>
      <c r="P22" s="709">
        <f t="shared" si="4"/>
        <v>55.27</v>
      </c>
      <c r="Q22" s="709">
        <f t="shared" si="5"/>
        <v>93.67</v>
      </c>
      <c r="R22" s="709">
        <f t="shared" si="6"/>
        <v>9.7200000000000006</v>
      </c>
      <c r="S22" s="709">
        <f t="shared" si="7"/>
        <v>18.61</v>
      </c>
      <c r="T22" s="709">
        <f t="shared" si="8"/>
        <v>122</v>
      </c>
      <c r="U22" s="709">
        <f t="shared" si="9"/>
        <v>10.17</v>
      </c>
      <c r="V22" s="709">
        <f t="shared" si="16"/>
        <v>3.39</v>
      </c>
      <c r="W22" s="472">
        <f t="shared" si="10"/>
        <v>3.39</v>
      </c>
      <c r="X22" s="574">
        <f t="shared" si="11"/>
        <v>93.67</v>
      </c>
      <c r="Y22" s="422" t="b">
        <f t="shared" si="12"/>
        <v>1</v>
      </c>
      <c r="Z22" s="574">
        <f t="shared" si="13"/>
        <v>122</v>
      </c>
      <c r="AA22" s="710">
        <f t="shared" si="14"/>
        <v>0.1</v>
      </c>
    </row>
    <row r="23" spans="1:27" ht="18" hidden="1" customHeight="1" outlineLevel="1" x14ac:dyDescent="0.25">
      <c r="A23" s="475" t="s">
        <v>297</v>
      </c>
      <c r="B23" s="460" t="s">
        <v>298</v>
      </c>
      <c r="C23" s="445" t="s">
        <v>45</v>
      </c>
      <c r="D23" s="475" t="s">
        <v>41</v>
      </c>
      <c r="E23" s="475" t="s">
        <v>42</v>
      </c>
      <c r="F23" s="705">
        <f>$F$16</f>
        <v>41.43</v>
      </c>
      <c r="G23" s="705">
        <v>1.08</v>
      </c>
      <c r="H23" s="705">
        <f t="shared" si="0"/>
        <v>0.75</v>
      </c>
      <c r="I23" s="705">
        <v>0.25</v>
      </c>
      <c r="J23" s="706">
        <f>I23/K23</f>
        <v>2.3E-2</v>
      </c>
      <c r="K23" s="707">
        <f>8/H23</f>
        <v>11</v>
      </c>
      <c r="L23" s="708">
        <f t="shared" si="15"/>
        <v>0.77</v>
      </c>
      <c r="M23" s="709">
        <f t="shared" si="1"/>
        <v>31.9</v>
      </c>
      <c r="N23" s="709">
        <f t="shared" si="2"/>
        <v>3.19</v>
      </c>
      <c r="O23" s="709">
        <f t="shared" si="3"/>
        <v>8.39</v>
      </c>
      <c r="P23" s="709">
        <f t="shared" si="4"/>
        <v>62.59</v>
      </c>
      <c r="Q23" s="709">
        <f t="shared" si="5"/>
        <v>106.07</v>
      </c>
      <c r="R23" s="709">
        <f t="shared" si="6"/>
        <v>10.88</v>
      </c>
      <c r="S23" s="709">
        <f t="shared" si="7"/>
        <v>21.05</v>
      </c>
      <c r="T23" s="709">
        <f t="shared" si="8"/>
        <v>138</v>
      </c>
      <c r="U23" s="709">
        <f t="shared" si="9"/>
        <v>11.5</v>
      </c>
      <c r="V23" s="709">
        <f t="shared" si="16"/>
        <v>3.83</v>
      </c>
      <c r="W23" s="472">
        <f t="shared" si="10"/>
        <v>3.83</v>
      </c>
      <c r="X23" s="574">
        <f t="shared" si="11"/>
        <v>106.07</v>
      </c>
      <c r="Y23" s="422" t="b">
        <f t="shared" si="12"/>
        <v>1</v>
      </c>
      <c r="Z23" s="574">
        <f t="shared" si="13"/>
        <v>138</v>
      </c>
      <c r="AA23" s="710">
        <f t="shared" si="14"/>
        <v>0.1</v>
      </c>
    </row>
    <row r="24" spans="1:27" ht="18" hidden="1" customHeight="1" outlineLevel="1" x14ac:dyDescent="0.25">
      <c r="A24" s="475" t="s">
        <v>299</v>
      </c>
      <c r="B24" s="460" t="s">
        <v>300</v>
      </c>
      <c r="C24" s="445" t="s">
        <v>45</v>
      </c>
      <c r="D24" s="475" t="s">
        <v>41</v>
      </c>
      <c r="E24" s="475" t="s">
        <v>42</v>
      </c>
      <c r="F24" s="705">
        <f>$F$16</f>
        <v>41.43</v>
      </c>
      <c r="G24" s="705">
        <v>1.07</v>
      </c>
      <c r="H24" s="705">
        <f t="shared" si="0"/>
        <v>0.74</v>
      </c>
      <c r="I24" s="705">
        <v>0.25</v>
      </c>
      <c r="J24" s="706">
        <f>I24/K24</f>
        <v>2.3E-2</v>
      </c>
      <c r="K24" s="707">
        <f>8/H24</f>
        <v>11</v>
      </c>
      <c r="L24" s="708">
        <f t="shared" si="15"/>
        <v>0.76</v>
      </c>
      <c r="M24" s="709">
        <f t="shared" si="1"/>
        <v>31.49</v>
      </c>
      <c r="N24" s="709">
        <f t="shared" si="2"/>
        <v>3.15</v>
      </c>
      <c r="O24" s="709">
        <f t="shared" si="3"/>
        <v>8.2799999999999994</v>
      </c>
      <c r="P24" s="709">
        <f t="shared" si="4"/>
        <v>61.78</v>
      </c>
      <c r="Q24" s="709">
        <f t="shared" si="5"/>
        <v>104.7</v>
      </c>
      <c r="R24" s="709">
        <f t="shared" si="6"/>
        <v>10.55</v>
      </c>
      <c r="S24" s="709">
        <f t="shared" si="7"/>
        <v>20.75</v>
      </c>
      <c r="T24" s="709">
        <f t="shared" si="8"/>
        <v>136</v>
      </c>
      <c r="U24" s="709">
        <f t="shared" si="9"/>
        <v>11.33</v>
      </c>
      <c r="V24" s="709">
        <f t="shared" si="16"/>
        <v>3.78</v>
      </c>
      <c r="W24" s="472">
        <f t="shared" si="10"/>
        <v>3.78</v>
      </c>
      <c r="X24" s="574">
        <f t="shared" si="11"/>
        <v>104.7</v>
      </c>
      <c r="Y24" s="422" t="b">
        <f t="shared" si="12"/>
        <v>1</v>
      </c>
      <c r="Z24" s="574">
        <f t="shared" si="13"/>
        <v>136</v>
      </c>
      <c r="AA24" s="710">
        <f t="shared" si="14"/>
        <v>0.1</v>
      </c>
    </row>
    <row r="25" spans="1:27" ht="13.8" hidden="1" outlineLevel="1" x14ac:dyDescent="0.25">
      <c r="A25" s="475"/>
      <c r="B25" s="460" t="s">
        <v>301</v>
      </c>
      <c r="C25" s="445"/>
      <c r="D25" s="475"/>
      <c r="E25" s="475"/>
      <c r="F25" s="705"/>
      <c r="G25" s="705"/>
      <c r="H25" s="705">
        <f t="shared" si="0"/>
        <v>0</v>
      </c>
      <c r="I25" s="705">
        <f>G25-H25</f>
        <v>0</v>
      </c>
      <c r="J25" s="706"/>
      <c r="K25" s="707"/>
      <c r="L25" s="708">
        <f t="shared" si="15"/>
        <v>0</v>
      </c>
      <c r="M25" s="709">
        <f t="shared" si="1"/>
        <v>0</v>
      </c>
      <c r="N25" s="709">
        <f t="shared" si="2"/>
        <v>0</v>
      </c>
      <c r="O25" s="709">
        <f t="shared" si="3"/>
        <v>0</v>
      </c>
      <c r="P25" s="709">
        <f t="shared" si="4"/>
        <v>0</v>
      </c>
      <c r="Q25" s="709">
        <f t="shared" si="5"/>
        <v>0</v>
      </c>
      <c r="R25" s="709">
        <f t="shared" si="6"/>
        <v>0</v>
      </c>
      <c r="S25" s="709">
        <f t="shared" si="7"/>
        <v>0</v>
      </c>
      <c r="T25" s="709">
        <f t="shared" si="8"/>
        <v>0</v>
      </c>
      <c r="U25" s="709">
        <f t="shared" si="9"/>
        <v>0</v>
      </c>
      <c r="V25" s="709">
        <f t="shared" si="16"/>
        <v>0</v>
      </c>
      <c r="W25" s="472">
        <f t="shared" si="10"/>
        <v>0</v>
      </c>
      <c r="X25" s="574">
        <f t="shared" si="11"/>
        <v>0</v>
      </c>
      <c r="Y25" s="422" t="b">
        <f t="shared" si="12"/>
        <v>1</v>
      </c>
      <c r="Z25" s="574">
        <f t="shared" si="13"/>
        <v>0</v>
      </c>
      <c r="AA25" s="710" t="e">
        <f t="shared" si="14"/>
        <v>#DIV/0!</v>
      </c>
    </row>
    <row r="26" spans="1:27" ht="18" hidden="1" customHeight="1" outlineLevel="1" x14ac:dyDescent="0.25">
      <c r="A26" s="475" t="s">
        <v>302</v>
      </c>
      <c r="B26" s="460" t="s">
        <v>296</v>
      </c>
      <c r="C26" s="445" t="s">
        <v>45</v>
      </c>
      <c r="D26" s="475" t="s">
        <v>41</v>
      </c>
      <c r="E26" s="475" t="s">
        <v>42</v>
      </c>
      <c r="F26" s="705">
        <f>$F$16</f>
        <v>41.43</v>
      </c>
      <c r="G26" s="705">
        <v>1.18</v>
      </c>
      <c r="H26" s="705">
        <f t="shared" si="0"/>
        <v>0.82</v>
      </c>
      <c r="I26" s="705">
        <v>0.25</v>
      </c>
      <c r="J26" s="706">
        <f t="shared" ref="J26:J31" si="17">I26/K26</f>
        <v>2.5000000000000001E-2</v>
      </c>
      <c r="K26" s="707">
        <f t="shared" ref="K26:K31" si="18">8/H26</f>
        <v>10</v>
      </c>
      <c r="L26" s="708">
        <f t="shared" si="15"/>
        <v>0.85</v>
      </c>
      <c r="M26" s="709">
        <f t="shared" si="1"/>
        <v>35.22</v>
      </c>
      <c r="N26" s="709">
        <f t="shared" si="2"/>
        <v>3.52</v>
      </c>
      <c r="O26" s="709">
        <f t="shared" si="3"/>
        <v>9.26</v>
      </c>
      <c r="P26" s="709">
        <f t="shared" si="4"/>
        <v>69.099999999999994</v>
      </c>
      <c r="Q26" s="709">
        <f t="shared" si="5"/>
        <v>117.1</v>
      </c>
      <c r="R26" s="709">
        <f t="shared" si="6"/>
        <v>11.71</v>
      </c>
      <c r="S26" s="709">
        <f t="shared" si="7"/>
        <v>23.19</v>
      </c>
      <c r="T26" s="709">
        <f t="shared" si="8"/>
        <v>152</v>
      </c>
      <c r="U26" s="709">
        <f t="shared" si="9"/>
        <v>12.67</v>
      </c>
      <c r="V26" s="709">
        <f t="shared" si="16"/>
        <v>4.22</v>
      </c>
      <c r="W26" s="472">
        <f t="shared" si="10"/>
        <v>4.22</v>
      </c>
      <c r="X26" s="574">
        <f t="shared" si="11"/>
        <v>117.1</v>
      </c>
      <c r="Y26" s="422" t="b">
        <f t="shared" si="12"/>
        <v>1</v>
      </c>
      <c r="Z26" s="574">
        <f t="shared" si="13"/>
        <v>152</v>
      </c>
      <c r="AA26" s="710">
        <f t="shared" si="14"/>
        <v>0.1</v>
      </c>
    </row>
    <row r="27" spans="1:27" ht="18" hidden="1" customHeight="1" outlineLevel="1" x14ac:dyDescent="0.25">
      <c r="A27" s="475" t="s">
        <v>303</v>
      </c>
      <c r="B27" s="460" t="s">
        <v>298</v>
      </c>
      <c r="C27" s="445" t="s">
        <v>45</v>
      </c>
      <c r="D27" s="475" t="s">
        <v>41</v>
      </c>
      <c r="E27" s="475" t="s">
        <v>42</v>
      </c>
      <c r="F27" s="705">
        <f>$F$16</f>
        <v>41.43</v>
      </c>
      <c r="G27" s="705">
        <v>1.3</v>
      </c>
      <c r="H27" s="705">
        <f t="shared" si="0"/>
        <v>0.9</v>
      </c>
      <c r="I27" s="705">
        <v>0.25</v>
      </c>
      <c r="J27" s="706">
        <f t="shared" si="17"/>
        <v>2.8000000000000001E-2</v>
      </c>
      <c r="K27" s="707">
        <f t="shared" si="18"/>
        <v>9</v>
      </c>
      <c r="L27" s="708">
        <f t="shared" si="15"/>
        <v>0.93</v>
      </c>
      <c r="M27" s="709">
        <f t="shared" si="1"/>
        <v>38.53</v>
      </c>
      <c r="N27" s="709">
        <f t="shared" si="2"/>
        <v>3.85</v>
      </c>
      <c r="O27" s="709">
        <f t="shared" si="3"/>
        <v>10.130000000000001</v>
      </c>
      <c r="P27" s="709">
        <f t="shared" si="4"/>
        <v>75.599999999999994</v>
      </c>
      <c r="Q27" s="709">
        <f t="shared" si="5"/>
        <v>128.11000000000001</v>
      </c>
      <c r="R27" s="709">
        <f t="shared" si="6"/>
        <v>12.57</v>
      </c>
      <c r="S27" s="709">
        <f t="shared" si="7"/>
        <v>25.32</v>
      </c>
      <c r="T27" s="709">
        <f t="shared" si="8"/>
        <v>166</v>
      </c>
      <c r="U27" s="709">
        <f t="shared" si="9"/>
        <v>13.83</v>
      </c>
      <c r="V27" s="709">
        <f t="shared" si="16"/>
        <v>4.6100000000000003</v>
      </c>
      <c r="W27" s="472">
        <f t="shared" si="10"/>
        <v>4.6100000000000003</v>
      </c>
      <c r="X27" s="574">
        <f t="shared" si="11"/>
        <v>128.11000000000001</v>
      </c>
      <c r="Y27" s="422" t="b">
        <f t="shared" si="12"/>
        <v>1</v>
      </c>
      <c r="Z27" s="574">
        <f t="shared" si="13"/>
        <v>166</v>
      </c>
      <c r="AA27" s="710">
        <f t="shared" si="14"/>
        <v>0.1</v>
      </c>
    </row>
    <row r="28" spans="1:27" ht="13.8" collapsed="1" x14ac:dyDescent="0.25">
      <c r="A28" s="475" t="s">
        <v>49</v>
      </c>
      <c r="B28" s="460" t="s">
        <v>50</v>
      </c>
      <c r="C28" s="445" t="s">
        <v>45</v>
      </c>
      <c r="D28" s="475" t="s">
        <v>41</v>
      </c>
      <c r="E28" s="475" t="s">
        <v>42</v>
      </c>
      <c r="F28" s="705">
        <f>$F$16</f>
        <v>41.43</v>
      </c>
      <c r="G28" s="705">
        <v>0.32</v>
      </c>
      <c r="H28" s="705">
        <f t="shared" si="0"/>
        <v>0.22</v>
      </c>
      <c r="I28" s="705">
        <v>0.25</v>
      </c>
      <c r="J28" s="706">
        <f t="shared" si="17"/>
        <v>7.0000000000000001E-3</v>
      </c>
      <c r="K28" s="707">
        <f t="shared" si="18"/>
        <v>36</v>
      </c>
      <c r="L28" s="708">
        <f t="shared" si="15"/>
        <v>0.23</v>
      </c>
      <c r="M28" s="709">
        <f t="shared" si="1"/>
        <v>9.5299999999999994</v>
      </c>
      <c r="N28" s="709">
        <f t="shared" si="2"/>
        <v>0.95</v>
      </c>
      <c r="O28" s="709">
        <f t="shared" si="3"/>
        <v>2.5099999999999998</v>
      </c>
      <c r="P28" s="709">
        <f t="shared" si="4"/>
        <v>18.7</v>
      </c>
      <c r="Q28" s="709">
        <f t="shared" si="5"/>
        <v>31.69</v>
      </c>
      <c r="R28" s="709">
        <f t="shared" si="6"/>
        <v>3.06</v>
      </c>
      <c r="S28" s="709">
        <f t="shared" si="7"/>
        <v>6.26</v>
      </c>
      <c r="T28" s="709">
        <f t="shared" si="8"/>
        <v>41</v>
      </c>
      <c r="U28" s="709">
        <f t="shared" si="9"/>
        <v>3.42</v>
      </c>
      <c r="V28" s="709">
        <f t="shared" si="16"/>
        <v>1.1399999999999999</v>
      </c>
      <c r="W28" s="472">
        <f t="shared" si="10"/>
        <v>1.1399999999999999</v>
      </c>
      <c r="X28" s="574">
        <f t="shared" si="11"/>
        <v>31.69</v>
      </c>
      <c r="Y28" s="422" t="b">
        <f t="shared" si="12"/>
        <v>1</v>
      </c>
      <c r="Z28" s="574">
        <f t="shared" si="13"/>
        <v>41.01</v>
      </c>
      <c r="AA28" s="710">
        <f t="shared" si="14"/>
        <v>0.1</v>
      </c>
    </row>
    <row r="29" spans="1:27" ht="26.4" x14ac:dyDescent="0.25">
      <c r="A29" s="475" t="s">
        <v>51</v>
      </c>
      <c r="B29" s="716" t="s">
        <v>52</v>
      </c>
      <c r="C29" s="519" t="s">
        <v>53</v>
      </c>
      <c r="D29" s="711" t="s">
        <v>42</v>
      </c>
      <c r="E29" s="711" t="s">
        <v>54</v>
      </c>
      <c r="F29" s="704">
        <f>'[13]Факт з_п +25% население ТО'!F28</f>
        <v>53.44</v>
      </c>
      <c r="G29" s="717">
        <v>1.3</v>
      </c>
      <c r="H29" s="717">
        <f t="shared" si="0"/>
        <v>0.9</v>
      </c>
      <c r="I29" s="705">
        <v>0.25</v>
      </c>
      <c r="J29" s="718">
        <f t="shared" si="17"/>
        <v>2.8000000000000001E-2</v>
      </c>
      <c r="K29" s="719">
        <f t="shared" si="18"/>
        <v>9</v>
      </c>
      <c r="L29" s="708">
        <f t="shared" si="15"/>
        <v>0.93</v>
      </c>
      <c r="M29" s="713">
        <f t="shared" si="1"/>
        <v>49.7</v>
      </c>
      <c r="N29" s="709">
        <f t="shared" si="2"/>
        <v>4.97</v>
      </c>
      <c r="O29" s="709">
        <f t="shared" si="3"/>
        <v>13.07</v>
      </c>
      <c r="P29" s="709">
        <f t="shared" si="4"/>
        <v>97.51</v>
      </c>
      <c r="Q29" s="709">
        <f t="shared" si="5"/>
        <v>165.25</v>
      </c>
      <c r="R29" s="709">
        <f t="shared" si="6"/>
        <v>16.11</v>
      </c>
      <c r="S29" s="709">
        <f t="shared" si="7"/>
        <v>32.64</v>
      </c>
      <c r="T29" s="709">
        <f t="shared" si="8"/>
        <v>214</v>
      </c>
      <c r="U29" s="709">
        <f t="shared" si="9"/>
        <v>17.829999999999998</v>
      </c>
      <c r="V29" s="709"/>
      <c r="W29" s="472">
        <f t="shared" si="10"/>
        <v>5.94</v>
      </c>
      <c r="X29" s="574">
        <f t="shared" si="11"/>
        <v>165.25</v>
      </c>
      <c r="Y29" s="422" t="b">
        <f t="shared" si="12"/>
        <v>1</v>
      </c>
      <c r="Z29" s="574">
        <f t="shared" si="13"/>
        <v>214</v>
      </c>
      <c r="AA29" s="710">
        <f t="shared" si="14"/>
        <v>0.1</v>
      </c>
    </row>
    <row r="30" spans="1:27" ht="13.8" x14ac:dyDescent="0.25">
      <c r="A30" s="475" t="s">
        <v>55</v>
      </c>
      <c r="B30" s="460" t="s">
        <v>56</v>
      </c>
      <c r="C30" s="445" t="s">
        <v>45</v>
      </c>
      <c r="D30" s="475" t="s">
        <v>41</v>
      </c>
      <c r="E30" s="475" t="s">
        <v>42</v>
      </c>
      <c r="F30" s="705">
        <f>$F$16</f>
        <v>41.43</v>
      </c>
      <c r="G30" s="705">
        <v>1.08</v>
      </c>
      <c r="H30" s="705">
        <f t="shared" si="0"/>
        <v>0.75</v>
      </c>
      <c r="I30" s="705">
        <v>0.25</v>
      </c>
      <c r="J30" s="706">
        <f t="shared" si="17"/>
        <v>2.3E-2</v>
      </c>
      <c r="K30" s="707">
        <f t="shared" si="18"/>
        <v>11</v>
      </c>
      <c r="L30" s="708">
        <f t="shared" si="15"/>
        <v>0.77</v>
      </c>
      <c r="M30" s="709">
        <f t="shared" si="1"/>
        <v>31.9</v>
      </c>
      <c r="N30" s="709">
        <f t="shared" si="2"/>
        <v>3.19</v>
      </c>
      <c r="O30" s="709">
        <f t="shared" si="3"/>
        <v>8.39</v>
      </c>
      <c r="P30" s="709">
        <f t="shared" si="4"/>
        <v>62.59</v>
      </c>
      <c r="Q30" s="709">
        <f t="shared" si="5"/>
        <v>106.07</v>
      </c>
      <c r="R30" s="709">
        <f t="shared" si="6"/>
        <v>10.88</v>
      </c>
      <c r="S30" s="709">
        <f t="shared" si="7"/>
        <v>21.05</v>
      </c>
      <c r="T30" s="709">
        <f t="shared" si="8"/>
        <v>138</v>
      </c>
      <c r="U30" s="709">
        <f t="shared" si="9"/>
        <v>11.5</v>
      </c>
      <c r="V30" s="709"/>
      <c r="W30" s="472">
        <f t="shared" si="10"/>
        <v>3.83</v>
      </c>
      <c r="X30" s="574">
        <f t="shared" si="11"/>
        <v>106.07</v>
      </c>
      <c r="Y30" s="422" t="b">
        <f t="shared" si="12"/>
        <v>1</v>
      </c>
      <c r="Z30" s="574">
        <f t="shared" si="13"/>
        <v>138</v>
      </c>
      <c r="AA30" s="710">
        <f t="shared" si="14"/>
        <v>0.1</v>
      </c>
    </row>
    <row r="31" spans="1:27" ht="26.4" x14ac:dyDescent="0.25">
      <c r="A31" s="475" t="s">
        <v>57</v>
      </c>
      <c r="B31" s="720" t="s">
        <v>1437</v>
      </c>
      <c r="C31" s="445" t="s">
        <v>45</v>
      </c>
      <c r="D31" s="475" t="s">
        <v>42</v>
      </c>
      <c r="E31" s="475" t="s">
        <v>54</v>
      </c>
      <c r="F31" s="705">
        <f>$F$29</f>
        <v>53.44</v>
      </c>
      <c r="G31" s="705">
        <v>1.24</v>
      </c>
      <c r="H31" s="705">
        <f t="shared" si="0"/>
        <v>0.86</v>
      </c>
      <c r="I31" s="705">
        <v>0.25</v>
      </c>
      <c r="J31" s="706">
        <f t="shared" si="17"/>
        <v>2.8000000000000001E-2</v>
      </c>
      <c r="K31" s="707">
        <f t="shared" si="18"/>
        <v>9</v>
      </c>
      <c r="L31" s="708">
        <f t="shared" si="15"/>
        <v>0.89</v>
      </c>
      <c r="M31" s="709">
        <f t="shared" si="1"/>
        <v>47.56</v>
      </c>
      <c r="N31" s="709">
        <f t="shared" si="2"/>
        <v>4.76</v>
      </c>
      <c r="O31" s="709">
        <f t="shared" si="3"/>
        <v>12.51</v>
      </c>
      <c r="P31" s="709">
        <f t="shared" si="4"/>
        <v>93.31</v>
      </c>
      <c r="Q31" s="709">
        <f t="shared" si="5"/>
        <v>158.13999999999999</v>
      </c>
      <c r="R31" s="709">
        <f t="shared" si="6"/>
        <v>15.59</v>
      </c>
      <c r="S31" s="709">
        <f t="shared" si="7"/>
        <v>31.27</v>
      </c>
      <c r="T31" s="709">
        <f t="shared" si="8"/>
        <v>205</v>
      </c>
      <c r="U31" s="709">
        <f t="shared" si="9"/>
        <v>17.079999999999998</v>
      </c>
      <c r="V31" s="709"/>
      <c r="W31" s="472">
        <f t="shared" si="10"/>
        <v>5.69</v>
      </c>
      <c r="X31" s="574">
        <f t="shared" si="11"/>
        <v>158.13999999999999</v>
      </c>
      <c r="Y31" s="422" t="b">
        <f t="shared" si="12"/>
        <v>1</v>
      </c>
      <c r="Z31" s="574">
        <f t="shared" si="13"/>
        <v>205</v>
      </c>
      <c r="AA31" s="710">
        <f t="shared" si="14"/>
        <v>0.1</v>
      </c>
    </row>
    <row r="32" spans="1:27" ht="13.8" hidden="1" x14ac:dyDescent="0.25">
      <c r="A32" s="475"/>
      <c r="B32" s="460"/>
      <c r="C32" s="445"/>
      <c r="D32" s="475"/>
      <c r="E32" s="475"/>
      <c r="F32" s="705"/>
      <c r="G32" s="705"/>
      <c r="H32" s="705">
        <f t="shared" si="0"/>
        <v>0</v>
      </c>
      <c r="I32" s="705">
        <f>G32-H32</f>
        <v>0</v>
      </c>
      <c r="J32" s="706"/>
      <c r="K32" s="707"/>
      <c r="L32" s="708">
        <f t="shared" si="15"/>
        <v>0</v>
      </c>
      <c r="M32" s="709">
        <f t="shared" si="1"/>
        <v>0</v>
      </c>
      <c r="N32" s="709">
        <f t="shared" si="2"/>
        <v>0</v>
      </c>
      <c r="O32" s="709">
        <f t="shared" si="3"/>
        <v>0</v>
      </c>
      <c r="P32" s="709">
        <f t="shared" si="4"/>
        <v>0</v>
      </c>
      <c r="Q32" s="709">
        <f t="shared" si="5"/>
        <v>0</v>
      </c>
      <c r="R32" s="709">
        <f t="shared" si="6"/>
        <v>0</v>
      </c>
      <c r="S32" s="709">
        <f t="shared" si="7"/>
        <v>0</v>
      </c>
      <c r="T32" s="709">
        <f t="shared" si="8"/>
        <v>0</v>
      </c>
      <c r="U32" s="709">
        <f t="shared" si="9"/>
        <v>0</v>
      </c>
      <c r="V32" s="709">
        <f t="shared" si="16"/>
        <v>0</v>
      </c>
      <c r="W32" s="472">
        <f t="shared" si="10"/>
        <v>0</v>
      </c>
      <c r="X32" s="574">
        <f t="shared" si="11"/>
        <v>0</v>
      </c>
      <c r="Y32" s="422" t="b">
        <f t="shared" si="12"/>
        <v>1</v>
      </c>
      <c r="Z32" s="574">
        <f t="shared" si="13"/>
        <v>0</v>
      </c>
      <c r="AA32" s="710" t="e">
        <f t="shared" si="14"/>
        <v>#DIV/0!</v>
      </c>
    </row>
    <row r="33" spans="1:27" ht="18" hidden="1" customHeight="1" outlineLevel="1" x14ac:dyDescent="0.25">
      <c r="A33" s="475" t="s">
        <v>304</v>
      </c>
      <c r="B33" s="460" t="s">
        <v>305</v>
      </c>
      <c r="C33" s="445" t="s">
        <v>45</v>
      </c>
      <c r="D33" s="475" t="s">
        <v>42</v>
      </c>
      <c r="E33" s="475" t="s">
        <v>54</v>
      </c>
      <c r="F33" s="705">
        <f t="shared" ref="F33:F39" si="19">$F$29</f>
        <v>53.44</v>
      </c>
      <c r="G33" s="705">
        <v>1.39</v>
      </c>
      <c r="H33" s="705">
        <f t="shared" si="0"/>
        <v>0.97</v>
      </c>
      <c r="I33" s="705">
        <v>0.25</v>
      </c>
      <c r="J33" s="706">
        <f>I33/K33</f>
        <v>3.1E-2</v>
      </c>
      <c r="K33" s="707">
        <f>8/H33</f>
        <v>8</v>
      </c>
      <c r="L33" s="708">
        <f t="shared" si="15"/>
        <v>1</v>
      </c>
      <c r="M33" s="709">
        <f t="shared" si="1"/>
        <v>53.44</v>
      </c>
      <c r="N33" s="709">
        <f t="shared" si="2"/>
        <v>5.34</v>
      </c>
      <c r="O33" s="709">
        <f t="shared" si="3"/>
        <v>14.05</v>
      </c>
      <c r="P33" s="709">
        <f t="shared" si="4"/>
        <v>104.85</v>
      </c>
      <c r="Q33" s="709">
        <f t="shared" si="5"/>
        <v>177.68</v>
      </c>
      <c r="R33" s="709">
        <f t="shared" si="6"/>
        <v>18.079999999999998</v>
      </c>
      <c r="S33" s="709">
        <f t="shared" si="7"/>
        <v>35.24</v>
      </c>
      <c r="T33" s="709">
        <f t="shared" si="8"/>
        <v>231</v>
      </c>
      <c r="U33" s="709">
        <f t="shared" si="9"/>
        <v>19.25</v>
      </c>
      <c r="V33" s="709">
        <f t="shared" si="16"/>
        <v>6.42</v>
      </c>
      <c r="W33" s="472">
        <f t="shared" si="10"/>
        <v>6.42</v>
      </c>
      <c r="X33" s="574">
        <f t="shared" si="11"/>
        <v>177.68</v>
      </c>
      <c r="Y33" s="422" t="b">
        <f t="shared" si="12"/>
        <v>1</v>
      </c>
      <c r="Z33" s="574">
        <f t="shared" si="13"/>
        <v>231</v>
      </c>
      <c r="AA33" s="710">
        <f t="shared" si="14"/>
        <v>0.1</v>
      </c>
    </row>
    <row r="34" spans="1:27" ht="18" hidden="1" customHeight="1" outlineLevel="1" x14ac:dyDescent="0.25">
      <c r="A34" s="475" t="s">
        <v>306</v>
      </c>
      <c r="B34" s="460" t="s">
        <v>307</v>
      </c>
      <c r="C34" s="445" t="s">
        <v>45</v>
      </c>
      <c r="D34" s="475" t="s">
        <v>42</v>
      </c>
      <c r="E34" s="475" t="s">
        <v>54</v>
      </c>
      <c r="F34" s="705">
        <f t="shared" si="19"/>
        <v>53.44</v>
      </c>
      <c r="G34" s="705">
        <v>1.74</v>
      </c>
      <c r="H34" s="705">
        <f t="shared" si="0"/>
        <v>1.21</v>
      </c>
      <c r="I34" s="705">
        <v>0.25</v>
      </c>
      <c r="J34" s="706">
        <f>I34/K34</f>
        <v>3.5999999999999997E-2</v>
      </c>
      <c r="K34" s="707">
        <f>8/H34</f>
        <v>7</v>
      </c>
      <c r="L34" s="708">
        <f t="shared" si="15"/>
        <v>1.25</v>
      </c>
      <c r="M34" s="709">
        <f t="shared" si="1"/>
        <v>66.8</v>
      </c>
      <c r="N34" s="709">
        <f t="shared" si="2"/>
        <v>6.68</v>
      </c>
      <c r="O34" s="709">
        <f t="shared" si="3"/>
        <v>17.57</v>
      </c>
      <c r="P34" s="709">
        <f t="shared" si="4"/>
        <v>131.06</v>
      </c>
      <c r="Q34" s="709">
        <f t="shared" si="5"/>
        <v>222.11</v>
      </c>
      <c r="R34" s="709">
        <f t="shared" si="6"/>
        <v>21.96</v>
      </c>
      <c r="S34" s="709">
        <f t="shared" si="7"/>
        <v>43.93</v>
      </c>
      <c r="T34" s="709">
        <f t="shared" si="8"/>
        <v>288</v>
      </c>
      <c r="U34" s="709">
        <f t="shared" si="9"/>
        <v>24</v>
      </c>
      <c r="V34" s="709">
        <f t="shared" si="16"/>
        <v>8</v>
      </c>
      <c r="W34" s="472">
        <f t="shared" si="10"/>
        <v>8</v>
      </c>
      <c r="X34" s="574">
        <f t="shared" si="11"/>
        <v>222.11</v>
      </c>
      <c r="Y34" s="422" t="b">
        <f t="shared" si="12"/>
        <v>1</v>
      </c>
      <c r="Z34" s="574">
        <f t="shared" si="13"/>
        <v>288</v>
      </c>
      <c r="AA34" s="710">
        <f t="shared" si="14"/>
        <v>0.1</v>
      </c>
    </row>
    <row r="35" spans="1:27" ht="18" hidden="1" customHeight="1" outlineLevel="1" x14ac:dyDescent="0.25">
      <c r="A35" s="475" t="s">
        <v>308</v>
      </c>
      <c r="B35" s="460" t="s">
        <v>309</v>
      </c>
      <c r="C35" s="445" t="s">
        <v>45</v>
      </c>
      <c r="D35" s="475" t="s">
        <v>42</v>
      </c>
      <c r="E35" s="475" t="s">
        <v>54</v>
      </c>
      <c r="F35" s="705">
        <f t="shared" si="19"/>
        <v>53.44</v>
      </c>
      <c r="G35" s="705">
        <v>2</v>
      </c>
      <c r="H35" s="705">
        <f t="shared" si="0"/>
        <v>1.39</v>
      </c>
      <c r="I35" s="705">
        <v>0.25</v>
      </c>
      <c r="J35" s="706">
        <f>I35/K35</f>
        <v>4.2000000000000003E-2</v>
      </c>
      <c r="K35" s="707">
        <f>8/H35</f>
        <v>6</v>
      </c>
      <c r="L35" s="708">
        <f t="shared" si="15"/>
        <v>1.43</v>
      </c>
      <c r="M35" s="709">
        <f t="shared" si="1"/>
        <v>76.42</v>
      </c>
      <c r="N35" s="709">
        <f t="shared" si="2"/>
        <v>7.64</v>
      </c>
      <c r="O35" s="709">
        <f t="shared" si="3"/>
        <v>20.100000000000001</v>
      </c>
      <c r="P35" s="709">
        <f t="shared" si="4"/>
        <v>149.94</v>
      </c>
      <c r="Q35" s="709">
        <f t="shared" si="5"/>
        <v>254.1</v>
      </c>
      <c r="R35" s="709">
        <f t="shared" si="6"/>
        <v>25.56</v>
      </c>
      <c r="S35" s="709">
        <f t="shared" si="7"/>
        <v>50.34</v>
      </c>
      <c r="T35" s="709">
        <f t="shared" si="8"/>
        <v>330</v>
      </c>
      <c r="U35" s="709">
        <f t="shared" si="9"/>
        <v>27.5</v>
      </c>
      <c r="V35" s="709">
        <f t="shared" si="16"/>
        <v>9.17</v>
      </c>
      <c r="W35" s="472">
        <f t="shared" si="10"/>
        <v>9.17</v>
      </c>
      <c r="X35" s="574">
        <f t="shared" si="11"/>
        <v>254.1</v>
      </c>
      <c r="Y35" s="422" t="b">
        <f t="shared" si="12"/>
        <v>1</v>
      </c>
      <c r="Z35" s="574">
        <f t="shared" si="13"/>
        <v>330</v>
      </c>
      <c r="AA35" s="710">
        <f t="shared" si="14"/>
        <v>0.1</v>
      </c>
    </row>
    <row r="36" spans="1:27" ht="18" hidden="1" customHeight="1" outlineLevel="1" x14ac:dyDescent="0.25">
      <c r="A36" s="475" t="s">
        <v>310</v>
      </c>
      <c r="B36" s="460" t="s">
        <v>311</v>
      </c>
      <c r="C36" s="445" t="s">
        <v>45</v>
      </c>
      <c r="D36" s="475" t="s">
        <v>42</v>
      </c>
      <c r="E36" s="475" t="s">
        <v>54</v>
      </c>
      <c r="F36" s="705">
        <f t="shared" si="19"/>
        <v>53.44</v>
      </c>
      <c r="G36" s="705">
        <v>2.4</v>
      </c>
      <c r="H36" s="705">
        <f t="shared" si="0"/>
        <v>1.67</v>
      </c>
      <c r="I36" s="705">
        <v>0.25</v>
      </c>
      <c r="J36" s="706">
        <f>I36/K36</f>
        <v>0.05</v>
      </c>
      <c r="K36" s="707">
        <f>8/H36</f>
        <v>5</v>
      </c>
      <c r="L36" s="708">
        <f t="shared" si="15"/>
        <v>1.72</v>
      </c>
      <c r="M36" s="709">
        <f t="shared" si="1"/>
        <v>91.92</v>
      </c>
      <c r="N36" s="709">
        <f t="shared" si="2"/>
        <v>9.19</v>
      </c>
      <c r="O36" s="709">
        <f t="shared" si="3"/>
        <v>24.17</v>
      </c>
      <c r="P36" s="709">
        <f t="shared" si="4"/>
        <v>180.35</v>
      </c>
      <c r="Q36" s="709">
        <f t="shared" si="5"/>
        <v>305.63</v>
      </c>
      <c r="R36" s="709">
        <f t="shared" si="6"/>
        <v>30.81</v>
      </c>
      <c r="S36" s="709">
        <f t="shared" si="7"/>
        <v>60.56</v>
      </c>
      <c r="T36" s="709">
        <f t="shared" si="8"/>
        <v>397</v>
      </c>
      <c r="U36" s="709">
        <f t="shared" si="9"/>
        <v>33.08</v>
      </c>
      <c r="V36" s="709">
        <f t="shared" si="16"/>
        <v>11.03</v>
      </c>
      <c r="W36" s="472">
        <f t="shared" si="10"/>
        <v>11.03</v>
      </c>
      <c r="X36" s="574">
        <f t="shared" si="11"/>
        <v>305.63</v>
      </c>
      <c r="Y36" s="422" t="b">
        <f t="shared" si="12"/>
        <v>1</v>
      </c>
      <c r="Z36" s="574">
        <f t="shared" si="13"/>
        <v>397</v>
      </c>
      <c r="AA36" s="710">
        <f t="shared" si="14"/>
        <v>0.1</v>
      </c>
    </row>
    <row r="37" spans="1:27" ht="26.4" collapsed="1" x14ac:dyDescent="0.25">
      <c r="A37" s="721" t="s">
        <v>59</v>
      </c>
      <c r="B37" s="720" t="s">
        <v>1438</v>
      </c>
      <c r="C37" s="445" t="s">
        <v>45</v>
      </c>
      <c r="D37" s="475"/>
      <c r="E37" s="475" t="s">
        <v>54</v>
      </c>
      <c r="F37" s="705">
        <f t="shared" si="19"/>
        <v>53.44</v>
      </c>
      <c r="G37" s="705"/>
      <c r="H37" s="705"/>
      <c r="I37" s="705"/>
      <c r="J37" s="706"/>
      <c r="K37" s="707"/>
      <c r="L37" s="708">
        <f>L36</f>
        <v>1.72</v>
      </c>
      <c r="M37" s="709">
        <f>F37*L37</f>
        <v>91.92</v>
      </c>
      <c r="N37" s="709">
        <f t="shared" si="2"/>
        <v>9.19</v>
      </c>
      <c r="O37" s="709">
        <f>M37*26.3%</f>
        <v>24.17</v>
      </c>
      <c r="P37" s="709">
        <f>M37*196.2%</f>
        <v>180.35</v>
      </c>
      <c r="Q37" s="709">
        <f>M37+N37+O37+P37</f>
        <v>305.63</v>
      </c>
      <c r="R37" s="709">
        <f>T37/1.18-Q37</f>
        <v>30.81</v>
      </c>
      <c r="S37" s="709">
        <f>(Q37+R37)*18%</f>
        <v>60.56</v>
      </c>
      <c r="T37" s="709">
        <f>ROUND(Q37*1.298,0)</f>
        <v>397</v>
      </c>
      <c r="U37" s="709">
        <f t="shared" si="9"/>
        <v>33.08</v>
      </c>
      <c r="V37" s="709"/>
      <c r="W37" s="472">
        <f>T37/36</f>
        <v>11.03</v>
      </c>
      <c r="X37" s="574">
        <f>M37+N37+O37+P37</f>
        <v>305.63</v>
      </c>
      <c r="Y37" s="422" t="b">
        <f>Q37=X37</f>
        <v>1</v>
      </c>
      <c r="Z37" s="574">
        <f>Q37+R37+S37</f>
        <v>397</v>
      </c>
      <c r="AA37" s="710">
        <f>R37/Q37</f>
        <v>0.1</v>
      </c>
    </row>
    <row r="38" spans="1:27" ht="26.4" x14ac:dyDescent="0.25">
      <c r="A38" s="721" t="s">
        <v>61</v>
      </c>
      <c r="B38" s="720" t="s">
        <v>1439</v>
      </c>
      <c r="C38" s="445" t="str">
        <f>C37</f>
        <v>"</v>
      </c>
      <c r="D38" s="475"/>
      <c r="E38" s="475" t="s">
        <v>54</v>
      </c>
      <c r="F38" s="705">
        <f t="shared" si="19"/>
        <v>53.44</v>
      </c>
      <c r="G38" s="705"/>
      <c r="H38" s="705"/>
      <c r="I38" s="705"/>
      <c r="J38" s="706"/>
      <c r="K38" s="707"/>
      <c r="L38" s="708">
        <f>L37*1.25</f>
        <v>2.15</v>
      </c>
      <c r="M38" s="709">
        <f>F38*L38</f>
        <v>114.9</v>
      </c>
      <c r="N38" s="709">
        <f t="shared" si="2"/>
        <v>11.49</v>
      </c>
      <c r="O38" s="709">
        <f>M38*26.3%</f>
        <v>30.22</v>
      </c>
      <c r="P38" s="709">
        <f>M38*196.2%</f>
        <v>225.43</v>
      </c>
      <c r="Q38" s="709">
        <f>M38+N38+O38+P38</f>
        <v>382.04</v>
      </c>
      <c r="R38" s="709">
        <f>T38/1.18-Q38</f>
        <v>38.299999999999997</v>
      </c>
      <c r="S38" s="709">
        <f>(Q38+R38)*18%</f>
        <v>75.66</v>
      </c>
      <c r="T38" s="709">
        <f>ROUND(Q38*1.298,0)</f>
        <v>496</v>
      </c>
      <c r="U38" s="709">
        <f t="shared" si="9"/>
        <v>41.33</v>
      </c>
      <c r="V38" s="709"/>
      <c r="W38" s="472">
        <f>T38/36</f>
        <v>13.78</v>
      </c>
      <c r="X38" s="574">
        <f>M38+N38+O38+P38</f>
        <v>382.04</v>
      </c>
      <c r="Y38" s="422" t="b">
        <f>Q38=X38</f>
        <v>1</v>
      </c>
      <c r="Z38" s="574">
        <f>Q38+R38+S38</f>
        <v>496</v>
      </c>
      <c r="AA38" s="710">
        <f>R38/Q38</f>
        <v>0.1</v>
      </c>
    </row>
    <row r="39" spans="1:27" ht="18" hidden="1" customHeight="1" outlineLevel="1" x14ac:dyDescent="0.25">
      <c r="A39" s="722" t="s">
        <v>312</v>
      </c>
      <c r="B39" s="460" t="s">
        <v>313</v>
      </c>
      <c r="C39" s="445" t="s">
        <v>45</v>
      </c>
      <c r="D39" s="475" t="s">
        <v>42</v>
      </c>
      <c r="E39" s="475" t="s">
        <v>54</v>
      </c>
      <c r="F39" s="705">
        <f t="shared" si="19"/>
        <v>53.44</v>
      </c>
      <c r="G39" s="705">
        <v>3.6</v>
      </c>
      <c r="H39" s="705">
        <f t="shared" si="0"/>
        <v>2.5</v>
      </c>
      <c r="I39" s="705">
        <v>0.25</v>
      </c>
      <c r="J39" s="706">
        <f>I39/K39</f>
        <v>8.3000000000000004E-2</v>
      </c>
      <c r="K39" s="707">
        <f>8/H39</f>
        <v>3</v>
      </c>
      <c r="L39" s="708">
        <f>H39+J39</f>
        <v>2.58</v>
      </c>
      <c r="M39" s="709">
        <f t="shared" si="1"/>
        <v>137.88</v>
      </c>
      <c r="N39" s="709">
        <f t="shared" si="2"/>
        <v>13.79</v>
      </c>
      <c r="O39" s="709">
        <f t="shared" si="3"/>
        <v>36.26</v>
      </c>
      <c r="P39" s="709">
        <f t="shared" si="4"/>
        <v>270.52</v>
      </c>
      <c r="Q39" s="709">
        <f t="shared" si="5"/>
        <v>458.45</v>
      </c>
      <c r="R39" s="709">
        <f t="shared" si="6"/>
        <v>45.79</v>
      </c>
      <c r="S39" s="709">
        <f t="shared" si="7"/>
        <v>90.76</v>
      </c>
      <c r="T39" s="709">
        <f t="shared" si="8"/>
        <v>595</v>
      </c>
      <c r="U39" s="709">
        <f t="shared" si="9"/>
        <v>49.58</v>
      </c>
      <c r="V39" s="709">
        <f t="shared" si="16"/>
        <v>16.53</v>
      </c>
      <c r="W39" s="472">
        <f t="shared" si="10"/>
        <v>16.53</v>
      </c>
      <c r="X39" s="574">
        <f t="shared" si="11"/>
        <v>458.45</v>
      </c>
      <c r="Y39" s="422" t="b">
        <f t="shared" si="12"/>
        <v>1</v>
      </c>
      <c r="Z39" s="574">
        <f t="shared" si="13"/>
        <v>595</v>
      </c>
      <c r="AA39" s="710">
        <f t="shared" si="14"/>
        <v>0.1</v>
      </c>
    </row>
    <row r="40" spans="1:27" ht="13.8" hidden="1" outlineLevel="1" x14ac:dyDescent="0.25">
      <c r="A40" s="475"/>
      <c r="B40" s="460" t="s">
        <v>314</v>
      </c>
      <c r="C40" s="445"/>
      <c r="D40" s="475"/>
      <c r="E40" s="475"/>
      <c r="F40" s="705"/>
      <c r="G40" s="705"/>
      <c r="H40" s="705">
        <f t="shared" si="0"/>
        <v>0</v>
      </c>
      <c r="I40" s="705">
        <f>G40-H40</f>
        <v>0</v>
      </c>
      <c r="J40" s="706"/>
      <c r="K40" s="707"/>
      <c r="L40" s="708">
        <f t="shared" si="15"/>
        <v>0</v>
      </c>
      <c r="M40" s="709">
        <f t="shared" si="1"/>
        <v>0</v>
      </c>
      <c r="N40" s="709">
        <f t="shared" si="2"/>
        <v>0</v>
      </c>
      <c r="O40" s="709">
        <f t="shared" si="3"/>
        <v>0</v>
      </c>
      <c r="P40" s="709">
        <f t="shared" si="4"/>
        <v>0</v>
      </c>
      <c r="Q40" s="709">
        <f t="shared" si="5"/>
        <v>0</v>
      </c>
      <c r="R40" s="709">
        <f t="shared" si="6"/>
        <v>0</v>
      </c>
      <c r="S40" s="709">
        <f t="shared" si="7"/>
        <v>0</v>
      </c>
      <c r="T40" s="709">
        <f t="shared" si="8"/>
        <v>0</v>
      </c>
      <c r="U40" s="709">
        <f t="shared" si="9"/>
        <v>0</v>
      </c>
      <c r="V40" s="709">
        <f t="shared" si="16"/>
        <v>0</v>
      </c>
      <c r="W40" s="472">
        <f t="shared" si="10"/>
        <v>0</v>
      </c>
      <c r="X40" s="574">
        <f t="shared" si="11"/>
        <v>0</v>
      </c>
      <c r="Y40" s="422" t="b">
        <f t="shared" si="12"/>
        <v>1</v>
      </c>
      <c r="Z40" s="574">
        <f t="shared" si="13"/>
        <v>0</v>
      </c>
      <c r="AA40" s="710" t="e">
        <f t="shared" si="14"/>
        <v>#DIV/0!</v>
      </c>
    </row>
    <row r="41" spans="1:27" ht="18" hidden="1" customHeight="1" outlineLevel="1" x14ac:dyDescent="0.25">
      <c r="A41" s="475" t="s">
        <v>315</v>
      </c>
      <c r="B41" s="460" t="s">
        <v>316</v>
      </c>
      <c r="C41" s="445" t="s">
        <v>317</v>
      </c>
      <c r="D41" s="475" t="s">
        <v>42</v>
      </c>
      <c r="E41" s="475" t="s">
        <v>54</v>
      </c>
      <c r="F41" s="705">
        <f>$F$29</f>
        <v>53.44</v>
      </c>
      <c r="G41" s="705">
        <v>1.24</v>
      </c>
      <c r="H41" s="705">
        <f t="shared" si="0"/>
        <v>0.86</v>
      </c>
      <c r="I41" s="705">
        <v>0.25</v>
      </c>
      <c r="J41" s="706">
        <f>I41/K41</f>
        <v>2.8000000000000001E-2</v>
      </c>
      <c r="K41" s="707">
        <f>8/H41</f>
        <v>9</v>
      </c>
      <c r="L41" s="708">
        <f t="shared" si="15"/>
        <v>0.89</v>
      </c>
      <c r="M41" s="709">
        <f t="shared" si="1"/>
        <v>47.56</v>
      </c>
      <c r="N41" s="709">
        <f t="shared" si="2"/>
        <v>4.76</v>
      </c>
      <c r="O41" s="709">
        <f t="shared" si="3"/>
        <v>12.51</v>
      </c>
      <c r="P41" s="709">
        <f t="shared" si="4"/>
        <v>93.31</v>
      </c>
      <c r="Q41" s="709">
        <f t="shared" si="5"/>
        <v>158.13999999999999</v>
      </c>
      <c r="R41" s="709">
        <f t="shared" si="6"/>
        <v>15.59</v>
      </c>
      <c r="S41" s="709">
        <f t="shared" si="7"/>
        <v>31.27</v>
      </c>
      <c r="T41" s="709">
        <f t="shared" si="8"/>
        <v>205</v>
      </c>
      <c r="U41" s="709">
        <f t="shared" si="9"/>
        <v>17.079999999999998</v>
      </c>
      <c r="V41" s="709">
        <f t="shared" si="16"/>
        <v>5.69</v>
      </c>
      <c r="W41" s="472">
        <f t="shared" si="10"/>
        <v>5.69</v>
      </c>
      <c r="X41" s="574">
        <f t="shared" si="11"/>
        <v>158.13999999999999</v>
      </c>
      <c r="Y41" s="422" t="b">
        <f t="shared" si="12"/>
        <v>1</v>
      </c>
      <c r="Z41" s="574">
        <f t="shared" si="13"/>
        <v>205</v>
      </c>
      <c r="AA41" s="710">
        <f t="shared" si="14"/>
        <v>0.1</v>
      </c>
    </row>
    <row r="42" spans="1:27" ht="18" hidden="1" customHeight="1" outlineLevel="1" x14ac:dyDescent="0.25">
      <c r="A42" s="475" t="s">
        <v>318</v>
      </c>
      <c r="B42" s="460" t="s">
        <v>319</v>
      </c>
      <c r="C42" s="445" t="s">
        <v>317</v>
      </c>
      <c r="D42" s="475" t="s">
        <v>42</v>
      </c>
      <c r="E42" s="475" t="s">
        <v>54</v>
      </c>
      <c r="F42" s="705">
        <f>$F$29</f>
        <v>53.44</v>
      </c>
      <c r="G42" s="705">
        <v>0.88</v>
      </c>
      <c r="H42" s="705">
        <f t="shared" si="0"/>
        <v>0.61</v>
      </c>
      <c r="I42" s="705">
        <v>0.25</v>
      </c>
      <c r="J42" s="706">
        <f>I42/K42</f>
        <v>1.9E-2</v>
      </c>
      <c r="K42" s="707">
        <f>8/H42</f>
        <v>13</v>
      </c>
      <c r="L42" s="708">
        <f t="shared" si="15"/>
        <v>0.63</v>
      </c>
      <c r="M42" s="709">
        <f t="shared" si="1"/>
        <v>33.67</v>
      </c>
      <c r="N42" s="709">
        <f t="shared" si="2"/>
        <v>3.37</v>
      </c>
      <c r="O42" s="709">
        <f t="shared" si="3"/>
        <v>8.86</v>
      </c>
      <c r="P42" s="709">
        <f t="shared" si="4"/>
        <v>66.06</v>
      </c>
      <c r="Q42" s="709">
        <f t="shared" si="5"/>
        <v>111.96</v>
      </c>
      <c r="R42" s="709">
        <f t="shared" si="6"/>
        <v>10.92</v>
      </c>
      <c r="S42" s="709">
        <f t="shared" si="7"/>
        <v>22.12</v>
      </c>
      <c r="T42" s="709">
        <f t="shared" si="8"/>
        <v>145</v>
      </c>
      <c r="U42" s="709">
        <f t="shared" si="9"/>
        <v>12.08</v>
      </c>
      <c r="V42" s="709">
        <f t="shared" si="16"/>
        <v>4.03</v>
      </c>
      <c r="W42" s="472">
        <f t="shared" si="10"/>
        <v>4.03</v>
      </c>
      <c r="X42" s="574">
        <f t="shared" si="11"/>
        <v>111.96</v>
      </c>
      <c r="Y42" s="422" t="b">
        <f t="shared" si="12"/>
        <v>1</v>
      </c>
      <c r="Z42" s="574">
        <f t="shared" si="13"/>
        <v>145</v>
      </c>
      <c r="AA42" s="710">
        <f t="shared" si="14"/>
        <v>0.1</v>
      </c>
    </row>
    <row r="43" spans="1:27" ht="13.8" collapsed="1" x14ac:dyDescent="0.25">
      <c r="A43" s="475" t="s">
        <v>63</v>
      </c>
      <c r="B43" s="460" t="s">
        <v>1440</v>
      </c>
      <c r="C43" s="445" t="s">
        <v>65</v>
      </c>
      <c r="D43" s="475" t="s">
        <v>41</v>
      </c>
      <c r="E43" s="475" t="s">
        <v>42</v>
      </c>
      <c r="F43" s="705">
        <f>$F$16</f>
        <v>41.43</v>
      </c>
      <c r="G43" s="705">
        <v>0.73</v>
      </c>
      <c r="H43" s="705">
        <f t="shared" si="0"/>
        <v>0.51</v>
      </c>
      <c r="I43" s="705">
        <v>0.25</v>
      </c>
      <c r="J43" s="706">
        <f>I43/K43</f>
        <v>1.6E-2</v>
      </c>
      <c r="K43" s="707">
        <f>8/H43</f>
        <v>16</v>
      </c>
      <c r="L43" s="708">
        <f t="shared" si="15"/>
        <v>0.53</v>
      </c>
      <c r="M43" s="709">
        <f t="shared" si="1"/>
        <v>21.96</v>
      </c>
      <c r="N43" s="709">
        <f t="shared" si="2"/>
        <v>2.2000000000000002</v>
      </c>
      <c r="O43" s="709">
        <f t="shared" si="3"/>
        <v>5.78</v>
      </c>
      <c r="P43" s="709">
        <f t="shared" si="4"/>
        <v>43.09</v>
      </c>
      <c r="Q43" s="709">
        <f t="shared" si="5"/>
        <v>73.03</v>
      </c>
      <c r="R43" s="709">
        <f t="shared" si="6"/>
        <v>7.48</v>
      </c>
      <c r="S43" s="709">
        <f t="shared" si="7"/>
        <v>14.49</v>
      </c>
      <c r="T43" s="709">
        <f t="shared" si="8"/>
        <v>95</v>
      </c>
      <c r="U43" s="709">
        <f t="shared" si="9"/>
        <v>7.92</v>
      </c>
      <c r="V43" s="709"/>
      <c r="W43" s="472">
        <f t="shared" si="10"/>
        <v>2.64</v>
      </c>
      <c r="X43" s="574">
        <f t="shared" si="11"/>
        <v>73.03</v>
      </c>
      <c r="Y43" s="422" t="b">
        <f t="shared" si="12"/>
        <v>1</v>
      </c>
      <c r="Z43" s="574">
        <f t="shared" si="13"/>
        <v>95</v>
      </c>
      <c r="AA43" s="710">
        <f t="shared" si="14"/>
        <v>0.1</v>
      </c>
    </row>
    <row r="44" spans="1:27" s="809" customFormat="1" ht="13.8" x14ac:dyDescent="0.25">
      <c r="A44" s="800" t="s">
        <v>66</v>
      </c>
      <c r="B44" s="801" t="s">
        <v>332</v>
      </c>
      <c r="C44" s="802" t="s">
        <v>45</v>
      </c>
      <c r="D44" s="800" t="s">
        <v>42</v>
      </c>
      <c r="E44" s="800" t="s">
        <v>54</v>
      </c>
      <c r="F44" s="803">
        <f>$F$29</f>
        <v>53.44</v>
      </c>
      <c r="G44" s="803">
        <v>0.5</v>
      </c>
      <c r="H44" s="803">
        <f>G44/1.44</f>
        <v>0.35</v>
      </c>
      <c r="I44" s="803">
        <v>0.25</v>
      </c>
      <c r="J44" s="804">
        <f>I44/K44</f>
        <v>1.0999999999999999E-2</v>
      </c>
      <c r="K44" s="805">
        <f>8/H44</f>
        <v>23</v>
      </c>
      <c r="L44" s="806">
        <f>H44+J44</f>
        <v>0.36</v>
      </c>
      <c r="M44" s="803">
        <f>F44*L44</f>
        <v>19.239999999999998</v>
      </c>
      <c r="N44" s="803">
        <f>M44*10%</f>
        <v>1.92</v>
      </c>
      <c r="O44" s="803">
        <f>M44*26.3%</f>
        <v>5.0599999999999996</v>
      </c>
      <c r="P44" s="803">
        <f>M44*196.2%</f>
        <v>37.75</v>
      </c>
      <c r="Q44" s="803">
        <f>M44+N44+O44+P44</f>
        <v>63.97</v>
      </c>
      <c r="R44" s="803">
        <f>T44/1.18-Q44</f>
        <v>6.37</v>
      </c>
      <c r="S44" s="803">
        <f>(Q44+R44)*18%</f>
        <v>12.66</v>
      </c>
      <c r="T44" s="803">
        <f>ROUND(Q44*1.298,0)</f>
        <v>83</v>
      </c>
      <c r="U44" s="803">
        <f>T44/12</f>
        <v>6.92</v>
      </c>
      <c r="V44" s="803"/>
      <c r="W44" s="807"/>
      <c r="X44" s="808">
        <f>M44+N44+O44+P44</f>
        <v>63.97</v>
      </c>
      <c r="Y44" s="809" t="b">
        <f>Q44=X44</f>
        <v>1</v>
      </c>
      <c r="Z44" s="808">
        <f>Q44+R44+S44</f>
        <v>83</v>
      </c>
      <c r="AA44" s="810">
        <f>R44/Q44</f>
        <v>0.1</v>
      </c>
    </row>
    <row r="45" spans="1:27" ht="13.8" x14ac:dyDescent="0.25">
      <c r="A45" s="475"/>
      <c r="B45" s="460" t="s">
        <v>333</v>
      </c>
      <c r="C45" s="445"/>
      <c r="D45" s="475"/>
      <c r="E45" s="475"/>
      <c r="F45" s="705"/>
      <c r="G45" s="705"/>
      <c r="H45" s="705">
        <f>G45/1.44</f>
        <v>0</v>
      </c>
      <c r="I45" s="705">
        <f>G45-H45</f>
        <v>0</v>
      </c>
      <c r="J45" s="706"/>
      <c r="K45" s="707"/>
      <c r="L45" s="708">
        <f>H45+J45</f>
        <v>0</v>
      </c>
      <c r="M45" s="709">
        <f>F45*L45</f>
        <v>0</v>
      </c>
      <c r="N45" s="709">
        <f>M45*10%</f>
        <v>0</v>
      </c>
      <c r="O45" s="709">
        <f>M45*26.3%</f>
        <v>0</v>
      </c>
      <c r="P45" s="709">
        <f>M45*196.2%</f>
        <v>0</v>
      </c>
      <c r="Q45" s="709">
        <f>M45+N45+O45+P45</f>
        <v>0</v>
      </c>
      <c r="R45" s="709">
        <f>T45/1.18-Q45</f>
        <v>0</v>
      </c>
      <c r="S45" s="709">
        <f>(Q45+R45)*18%</f>
        <v>0</v>
      </c>
      <c r="T45" s="709">
        <f>ROUND(Q45*1.298,0)</f>
        <v>0</v>
      </c>
      <c r="U45" s="709">
        <f>T45/12</f>
        <v>0</v>
      </c>
      <c r="V45" s="709">
        <f t="shared" si="16"/>
        <v>0</v>
      </c>
      <c r="W45" s="472"/>
      <c r="X45" s="574">
        <f>M45+N45+O45+P45</f>
        <v>0</v>
      </c>
      <c r="Y45" s="422" t="b">
        <f>Q45=X45</f>
        <v>1</v>
      </c>
      <c r="Z45" s="574">
        <f>Q45+R45+S45</f>
        <v>0</v>
      </c>
      <c r="AA45" s="710" t="e">
        <f>R45/Q45</f>
        <v>#DIV/0!</v>
      </c>
    </row>
    <row r="46" spans="1:27" s="798" customFormat="1" ht="13.8" x14ac:dyDescent="0.25">
      <c r="A46" s="789" t="s">
        <v>68</v>
      </c>
      <c r="B46" s="790" t="s">
        <v>69</v>
      </c>
      <c r="C46" s="791" t="s">
        <v>70</v>
      </c>
      <c r="D46" s="789" t="s">
        <v>42</v>
      </c>
      <c r="E46" s="789" t="s">
        <v>54</v>
      </c>
      <c r="F46" s="792">
        <f>$F$29</f>
        <v>53.44</v>
      </c>
      <c r="G46" s="792">
        <v>0.3</v>
      </c>
      <c r="H46" s="792">
        <f>G46/1.44</f>
        <v>0.21</v>
      </c>
      <c r="I46" s="792">
        <v>0.25</v>
      </c>
      <c r="J46" s="793">
        <f>I46/K46</f>
        <v>7.0000000000000001E-3</v>
      </c>
      <c r="K46" s="794">
        <f>8/H46</f>
        <v>38</v>
      </c>
      <c r="L46" s="795">
        <f>H46+J46</f>
        <v>0.22</v>
      </c>
      <c r="M46" s="792">
        <f>F46*L46</f>
        <v>11.76</v>
      </c>
      <c r="N46" s="792">
        <f>M46*10%</f>
        <v>1.18</v>
      </c>
      <c r="O46" s="792">
        <f>M46*26.3%</f>
        <v>3.09</v>
      </c>
      <c r="P46" s="792">
        <f>M46*196.2%</f>
        <v>23.07</v>
      </c>
      <c r="Q46" s="792">
        <f>M46+N46+O46+P46</f>
        <v>39.1</v>
      </c>
      <c r="R46" s="792">
        <f>T46/1.18-Q46</f>
        <v>4.12</v>
      </c>
      <c r="S46" s="792">
        <f>(Q46+R46)*18%</f>
        <v>7.78</v>
      </c>
      <c r="T46" s="792">
        <f>ROUND(Q46*1.298,0)</f>
        <v>51</v>
      </c>
      <c r="U46" s="792">
        <f>T46/12</f>
        <v>4.25</v>
      </c>
      <c r="V46" s="792">
        <f>T46/36</f>
        <v>1.42</v>
      </c>
      <c r="W46" s="796"/>
      <c r="X46" s="797">
        <f>M46+N46+O46+P46</f>
        <v>39.1</v>
      </c>
      <c r="Y46" s="798" t="b">
        <f>Q46=X46</f>
        <v>1</v>
      </c>
      <c r="Z46" s="797">
        <f>Q46+R46+S46</f>
        <v>51</v>
      </c>
      <c r="AA46" s="799">
        <f>R46/Q46</f>
        <v>0.11</v>
      </c>
    </row>
    <row r="47" spans="1:27" ht="18" hidden="1" customHeight="1" outlineLevel="1" x14ac:dyDescent="0.25">
      <c r="A47" s="475" t="s">
        <v>320</v>
      </c>
      <c r="B47" s="460" t="s">
        <v>321</v>
      </c>
      <c r="C47" s="445" t="s">
        <v>45</v>
      </c>
      <c r="D47" s="475" t="s">
        <v>41</v>
      </c>
      <c r="E47" s="475" t="s">
        <v>42</v>
      </c>
      <c r="F47" s="705">
        <f>$F$16</f>
        <v>41.43</v>
      </c>
      <c r="G47" s="705">
        <v>0.6</v>
      </c>
      <c r="H47" s="705">
        <f t="shared" si="0"/>
        <v>0.42</v>
      </c>
      <c r="I47" s="705">
        <v>0.25</v>
      </c>
      <c r="J47" s="706">
        <f>I47/K47</f>
        <v>1.2999999999999999E-2</v>
      </c>
      <c r="K47" s="707">
        <f>8/H47</f>
        <v>19</v>
      </c>
      <c r="L47" s="708">
        <f t="shared" si="15"/>
        <v>0.43</v>
      </c>
      <c r="M47" s="709">
        <f t="shared" si="1"/>
        <v>17.809999999999999</v>
      </c>
      <c r="N47" s="709">
        <f t="shared" si="2"/>
        <v>1.78</v>
      </c>
      <c r="O47" s="709">
        <f t="shared" si="3"/>
        <v>4.68</v>
      </c>
      <c r="P47" s="709">
        <f t="shared" si="4"/>
        <v>34.94</v>
      </c>
      <c r="Q47" s="709">
        <f t="shared" si="5"/>
        <v>59.21</v>
      </c>
      <c r="R47" s="709">
        <f t="shared" si="6"/>
        <v>6.04</v>
      </c>
      <c r="S47" s="709">
        <f t="shared" si="7"/>
        <v>11.75</v>
      </c>
      <c r="T47" s="709">
        <f t="shared" si="8"/>
        <v>77</v>
      </c>
      <c r="U47" s="709">
        <f t="shared" si="9"/>
        <v>6.42</v>
      </c>
      <c r="V47" s="709">
        <f t="shared" si="16"/>
        <v>2.14</v>
      </c>
      <c r="W47" s="472"/>
      <c r="X47" s="574">
        <f t="shared" si="11"/>
        <v>59.21</v>
      </c>
      <c r="Y47" s="422" t="b">
        <f t="shared" si="12"/>
        <v>1</v>
      </c>
      <c r="Z47" s="574">
        <f t="shared" si="13"/>
        <v>77</v>
      </c>
      <c r="AA47" s="710">
        <f t="shared" si="14"/>
        <v>0.1</v>
      </c>
    </row>
    <row r="48" spans="1:27" ht="13.8" collapsed="1" x14ac:dyDescent="0.25">
      <c r="A48" s="475" t="s">
        <v>71</v>
      </c>
      <c r="B48" s="468" t="s">
        <v>322</v>
      </c>
      <c r="C48" s="445" t="s">
        <v>86</v>
      </c>
      <c r="D48" s="475" t="s">
        <v>42</v>
      </c>
      <c r="E48" s="475" t="s">
        <v>54</v>
      </c>
      <c r="F48" s="705">
        <f>$F$29</f>
        <v>53.44</v>
      </c>
      <c r="G48" s="705">
        <v>1.44</v>
      </c>
      <c r="H48" s="705">
        <f t="shared" si="0"/>
        <v>1</v>
      </c>
      <c r="I48" s="705">
        <v>0.25</v>
      </c>
      <c r="J48" s="706">
        <f>I48/K48</f>
        <v>3.1E-2</v>
      </c>
      <c r="K48" s="707">
        <f>8/H48</f>
        <v>8</v>
      </c>
      <c r="L48" s="708">
        <f t="shared" si="15"/>
        <v>1.03</v>
      </c>
      <c r="M48" s="709">
        <f t="shared" si="1"/>
        <v>55.04</v>
      </c>
      <c r="N48" s="709">
        <f t="shared" si="2"/>
        <v>5.5</v>
      </c>
      <c r="O48" s="709">
        <f t="shared" si="3"/>
        <v>14.48</v>
      </c>
      <c r="P48" s="709">
        <f t="shared" si="4"/>
        <v>107.99</v>
      </c>
      <c r="Q48" s="709">
        <f t="shared" si="5"/>
        <v>183.01</v>
      </c>
      <c r="R48" s="709">
        <f t="shared" si="6"/>
        <v>18.68</v>
      </c>
      <c r="S48" s="709">
        <f t="shared" si="7"/>
        <v>36.299999999999997</v>
      </c>
      <c r="T48" s="709">
        <f t="shared" si="8"/>
        <v>238</v>
      </c>
      <c r="U48" s="709">
        <f t="shared" si="9"/>
        <v>19.829999999999998</v>
      </c>
      <c r="V48" s="709"/>
      <c r="W48" s="472"/>
      <c r="X48" s="574">
        <f t="shared" si="11"/>
        <v>183.01</v>
      </c>
      <c r="Y48" s="422" t="b">
        <f t="shared" si="12"/>
        <v>1</v>
      </c>
      <c r="Z48" s="574">
        <f t="shared" si="13"/>
        <v>237.99</v>
      </c>
      <c r="AA48" s="710">
        <f t="shared" si="14"/>
        <v>0.1</v>
      </c>
    </row>
    <row r="49" spans="1:27" ht="13.8" x14ac:dyDescent="0.25">
      <c r="A49" s="475"/>
      <c r="B49" s="460" t="s">
        <v>323</v>
      </c>
      <c r="C49" s="445"/>
      <c r="D49" s="475"/>
      <c r="E49" s="475"/>
      <c r="F49" s="705"/>
      <c r="G49" s="705"/>
      <c r="H49" s="705">
        <f t="shared" si="0"/>
        <v>0</v>
      </c>
      <c r="I49" s="705">
        <f>G49-H49</f>
        <v>0</v>
      </c>
      <c r="J49" s="706"/>
      <c r="K49" s="707"/>
      <c r="L49" s="708">
        <f t="shared" si="15"/>
        <v>0</v>
      </c>
      <c r="M49" s="709">
        <f t="shared" si="1"/>
        <v>0</v>
      </c>
      <c r="N49" s="709">
        <f t="shared" si="2"/>
        <v>0</v>
      </c>
      <c r="O49" s="709">
        <f t="shared" si="3"/>
        <v>0</v>
      </c>
      <c r="P49" s="709">
        <f t="shared" si="4"/>
        <v>0</v>
      </c>
      <c r="Q49" s="709">
        <f t="shared" si="5"/>
        <v>0</v>
      </c>
      <c r="R49" s="709">
        <f t="shared" si="6"/>
        <v>0</v>
      </c>
      <c r="S49" s="709">
        <f t="shared" si="7"/>
        <v>0</v>
      </c>
      <c r="T49" s="709">
        <f t="shared" si="8"/>
        <v>0</v>
      </c>
      <c r="U49" s="709">
        <f t="shared" si="9"/>
        <v>0</v>
      </c>
      <c r="V49" s="709">
        <f t="shared" ref="V49:V60" si="20">U49/3</f>
        <v>0</v>
      </c>
      <c r="W49" s="472"/>
      <c r="X49" s="574">
        <f t="shared" si="11"/>
        <v>0</v>
      </c>
      <c r="Y49" s="422" t="b">
        <f t="shared" si="12"/>
        <v>1</v>
      </c>
      <c r="Z49" s="574">
        <f t="shared" si="13"/>
        <v>0</v>
      </c>
      <c r="AA49" s="710" t="e">
        <f t="shared" si="14"/>
        <v>#DIV/0!</v>
      </c>
    </row>
    <row r="50" spans="1:27" ht="13.8" x14ac:dyDescent="0.25">
      <c r="A50" s="475"/>
      <c r="B50" s="460" t="s">
        <v>324</v>
      </c>
      <c r="C50" s="445"/>
      <c r="D50" s="475"/>
      <c r="E50" s="475"/>
      <c r="F50" s="705"/>
      <c r="G50" s="705"/>
      <c r="H50" s="705">
        <f t="shared" si="0"/>
        <v>0</v>
      </c>
      <c r="I50" s="705">
        <f>G50-H50</f>
        <v>0</v>
      </c>
      <c r="J50" s="706"/>
      <c r="K50" s="707"/>
      <c r="L50" s="708">
        <f t="shared" si="15"/>
        <v>0</v>
      </c>
      <c r="M50" s="709">
        <f t="shared" si="1"/>
        <v>0</v>
      </c>
      <c r="N50" s="709">
        <f t="shared" si="2"/>
        <v>0</v>
      </c>
      <c r="O50" s="709">
        <f t="shared" si="3"/>
        <v>0</v>
      </c>
      <c r="P50" s="709">
        <f t="shared" si="4"/>
        <v>0</v>
      </c>
      <c r="Q50" s="709">
        <f t="shared" si="5"/>
        <v>0</v>
      </c>
      <c r="R50" s="709">
        <f t="shared" si="6"/>
        <v>0</v>
      </c>
      <c r="S50" s="709">
        <f t="shared" si="7"/>
        <v>0</v>
      </c>
      <c r="T50" s="709">
        <f t="shared" si="8"/>
        <v>0</v>
      </c>
      <c r="U50" s="709">
        <f t="shared" si="9"/>
        <v>0</v>
      </c>
      <c r="V50" s="709">
        <f t="shared" si="20"/>
        <v>0</v>
      </c>
      <c r="W50" s="472"/>
      <c r="X50" s="574">
        <f t="shared" si="11"/>
        <v>0</v>
      </c>
      <c r="Y50" s="422" t="b">
        <f t="shared" si="12"/>
        <v>1</v>
      </c>
      <c r="Z50" s="574">
        <f t="shared" si="13"/>
        <v>0</v>
      </c>
      <c r="AA50" s="710" t="e">
        <f t="shared" si="14"/>
        <v>#DIV/0!</v>
      </c>
    </row>
    <row r="51" spans="1:27" ht="17.25" hidden="1" customHeight="1" outlineLevel="1" x14ac:dyDescent="0.25">
      <c r="A51" s="475" t="s">
        <v>325</v>
      </c>
      <c r="B51" s="460" t="s">
        <v>326</v>
      </c>
      <c r="C51" s="445" t="s">
        <v>327</v>
      </c>
      <c r="D51" s="475" t="s">
        <v>42</v>
      </c>
      <c r="E51" s="475" t="s">
        <v>54</v>
      </c>
      <c r="F51" s="705">
        <f>$F$29</f>
        <v>53.44</v>
      </c>
      <c r="G51" s="705">
        <v>0.85</v>
      </c>
      <c r="H51" s="705">
        <f t="shared" si="0"/>
        <v>0.59</v>
      </c>
      <c r="I51" s="705">
        <v>0.25</v>
      </c>
      <c r="J51" s="706">
        <f>I51/K51</f>
        <v>1.7999999999999999E-2</v>
      </c>
      <c r="K51" s="707">
        <f>8/H51</f>
        <v>14</v>
      </c>
      <c r="L51" s="708">
        <f t="shared" si="15"/>
        <v>0.61</v>
      </c>
      <c r="M51" s="709">
        <f t="shared" si="1"/>
        <v>32.6</v>
      </c>
      <c r="N51" s="709">
        <f t="shared" si="2"/>
        <v>3.26</v>
      </c>
      <c r="O51" s="709">
        <f t="shared" si="3"/>
        <v>8.57</v>
      </c>
      <c r="P51" s="709">
        <f t="shared" si="4"/>
        <v>63.96</v>
      </c>
      <c r="Q51" s="709">
        <f t="shared" si="5"/>
        <v>108.39</v>
      </c>
      <c r="R51" s="709">
        <f t="shared" si="6"/>
        <v>11.1</v>
      </c>
      <c r="S51" s="709">
        <f t="shared" si="7"/>
        <v>21.51</v>
      </c>
      <c r="T51" s="709">
        <f t="shared" si="8"/>
        <v>141</v>
      </c>
      <c r="U51" s="709">
        <f t="shared" si="9"/>
        <v>11.75</v>
      </c>
      <c r="V51" s="709">
        <f t="shared" si="20"/>
        <v>3.92</v>
      </c>
      <c r="W51" s="472"/>
      <c r="X51" s="574">
        <f t="shared" si="11"/>
        <v>108.39</v>
      </c>
      <c r="Y51" s="422" t="b">
        <f t="shared" si="12"/>
        <v>1</v>
      </c>
      <c r="Z51" s="574">
        <f t="shared" si="13"/>
        <v>141</v>
      </c>
      <c r="AA51" s="710">
        <f t="shared" si="14"/>
        <v>0.1</v>
      </c>
    </row>
    <row r="52" spans="1:27" ht="16.5" hidden="1" customHeight="1" outlineLevel="1" x14ac:dyDescent="0.25">
      <c r="A52" s="475" t="s">
        <v>328</v>
      </c>
      <c r="B52" s="460" t="s">
        <v>329</v>
      </c>
      <c r="C52" s="445" t="s">
        <v>45</v>
      </c>
      <c r="D52" s="475" t="s">
        <v>42</v>
      </c>
      <c r="E52" s="475" t="s">
        <v>54</v>
      </c>
      <c r="F52" s="705">
        <f>$F$29</f>
        <v>53.44</v>
      </c>
      <c r="G52" s="705">
        <v>0.93</v>
      </c>
      <c r="H52" s="705">
        <f t="shared" si="0"/>
        <v>0.65</v>
      </c>
      <c r="I52" s="705">
        <v>0.25</v>
      </c>
      <c r="J52" s="706">
        <f>I52/K52</f>
        <v>2.1000000000000001E-2</v>
      </c>
      <c r="K52" s="707">
        <f>8/H52</f>
        <v>12</v>
      </c>
      <c r="L52" s="708">
        <f t="shared" si="15"/>
        <v>0.67</v>
      </c>
      <c r="M52" s="709">
        <f t="shared" si="1"/>
        <v>35.799999999999997</v>
      </c>
      <c r="N52" s="709">
        <f t="shared" si="2"/>
        <v>3.58</v>
      </c>
      <c r="O52" s="709">
        <f t="shared" si="3"/>
        <v>9.42</v>
      </c>
      <c r="P52" s="709">
        <f t="shared" si="4"/>
        <v>70.239999999999995</v>
      </c>
      <c r="Q52" s="709">
        <f t="shared" si="5"/>
        <v>119.04</v>
      </c>
      <c r="R52" s="709">
        <f t="shared" si="6"/>
        <v>12.32</v>
      </c>
      <c r="S52" s="709">
        <f t="shared" si="7"/>
        <v>23.64</v>
      </c>
      <c r="T52" s="709">
        <f t="shared" si="8"/>
        <v>155</v>
      </c>
      <c r="U52" s="709">
        <f t="shared" si="9"/>
        <v>12.92</v>
      </c>
      <c r="V52" s="709">
        <f t="shared" si="20"/>
        <v>4.3099999999999996</v>
      </c>
      <c r="W52" s="472"/>
      <c r="X52" s="574">
        <f t="shared" si="11"/>
        <v>119.04</v>
      </c>
      <c r="Y52" s="422" t="b">
        <f t="shared" si="12"/>
        <v>1</v>
      </c>
      <c r="Z52" s="574">
        <f t="shared" si="13"/>
        <v>155</v>
      </c>
      <c r="AA52" s="710">
        <f t="shared" si="14"/>
        <v>0.1</v>
      </c>
    </row>
    <row r="53" spans="1:27" ht="18" hidden="1" customHeight="1" outlineLevel="1" x14ac:dyDescent="0.25">
      <c r="A53" s="475" t="s">
        <v>330</v>
      </c>
      <c r="B53" s="460" t="s">
        <v>331</v>
      </c>
      <c r="C53" s="445" t="s">
        <v>53</v>
      </c>
      <c r="D53" s="475" t="s">
        <v>42</v>
      </c>
      <c r="E53" s="475" t="s">
        <v>54</v>
      </c>
      <c r="F53" s="705">
        <f>$F$29</f>
        <v>53.44</v>
      </c>
      <c r="G53" s="705">
        <v>0.56000000000000005</v>
      </c>
      <c r="H53" s="705">
        <f t="shared" si="0"/>
        <v>0.39</v>
      </c>
      <c r="I53" s="705">
        <v>0.25</v>
      </c>
      <c r="J53" s="706">
        <f>I53/K53</f>
        <v>1.2E-2</v>
      </c>
      <c r="K53" s="707">
        <f>8/H53</f>
        <v>21</v>
      </c>
      <c r="L53" s="708">
        <f t="shared" si="15"/>
        <v>0.4</v>
      </c>
      <c r="M53" s="709">
        <f t="shared" si="1"/>
        <v>21.38</v>
      </c>
      <c r="N53" s="709">
        <f t="shared" si="2"/>
        <v>2.14</v>
      </c>
      <c r="O53" s="709">
        <f t="shared" si="3"/>
        <v>5.62</v>
      </c>
      <c r="P53" s="709">
        <f t="shared" si="4"/>
        <v>41.95</v>
      </c>
      <c r="Q53" s="709">
        <f t="shared" si="5"/>
        <v>71.09</v>
      </c>
      <c r="R53" s="709">
        <f t="shared" si="6"/>
        <v>6.88</v>
      </c>
      <c r="S53" s="709">
        <f t="shared" si="7"/>
        <v>14.03</v>
      </c>
      <c r="T53" s="709">
        <f t="shared" si="8"/>
        <v>92</v>
      </c>
      <c r="U53" s="709">
        <f t="shared" si="9"/>
        <v>7.67</v>
      </c>
      <c r="V53" s="709">
        <f t="shared" si="20"/>
        <v>2.56</v>
      </c>
      <c r="W53" s="472"/>
      <c r="X53" s="574">
        <f t="shared" si="11"/>
        <v>71.09</v>
      </c>
      <c r="Y53" s="422" t="b">
        <f t="shared" si="12"/>
        <v>1</v>
      </c>
      <c r="Z53" s="574">
        <f t="shared" si="13"/>
        <v>92</v>
      </c>
      <c r="AA53" s="710">
        <f t="shared" si="14"/>
        <v>0.1</v>
      </c>
    </row>
    <row r="54" spans="1:27" ht="18" hidden="1" customHeight="1" outlineLevel="1" collapsed="1" x14ac:dyDescent="0.25">
      <c r="A54" s="475" t="s">
        <v>74</v>
      </c>
      <c r="B54" s="460" t="s">
        <v>334</v>
      </c>
      <c r="C54" s="445"/>
      <c r="D54" s="475"/>
      <c r="E54" s="475"/>
      <c r="F54" s="705"/>
      <c r="G54" s="705"/>
      <c r="H54" s="705">
        <f t="shared" si="0"/>
        <v>0</v>
      </c>
      <c r="I54" s="705">
        <f t="shared" ref="I54:I60" si="21">G54-H54</f>
        <v>0</v>
      </c>
      <c r="J54" s="706"/>
      <c r="K54" s="707"/>
      <c r="L54" s="708">
        <f t="shared" si="15"/>
        <v>0</v>
      </c>
      <c r="M54" s="709">
        <f t="shared" si="1"/>
        <v>0</v>
      </c>
      <c r="N54" s="709">
        <f t="shared" si="2"/>
        <v>0</v>
      </c>
      <c r="O54" s="709">
        <f t="shared" si="3"/>
        <v>0</v>
      </c>
      <c r="P54" s="709">
        <f t="shared" si="4"/>
        <v>0</v>
      </c>
      <c r="Q54" s="709">
        <f t="shared" si="5"/>
        <v>0</v>
      </c>
      <c r="R54" s="709">
        <f t="shared" si="6"/>
        <v>0</v>
      </c>
      <c r="S54" s="709">
        <f t="shared" si="7"/>
        <v>0</v>
      </c>
      <c r="T54" s="709">
        <f t="shared" si="8"/>
        <v>0</v>
      </c>
      <c r="U54" s="709">
        <f t="shared" si="9"/>
        <v>0</v>
      </c>
      <c r="V54" s="709">
        <f t="shared" si="20"/>
        <v>0</v>
      </c>
      <c r="W54" s="472"/>
      <c r="X54" s="574">
        <f t="shared" si="11"/>
        <v>0</v>
      </c>
      <c r="Y54" s="422" t="b">
        <f t="shared" si="12"/>
        <v>1</v>
      </c>
      <c r="Z54" s="574">
        <f t="shared" si="13"/>
        <v>0</v>
      </c>
      <c r="AA54" s="710" t="e">
        <f t="shared" si="14"/>
        <v>#DIV/0!</v>
      </c>
    </row>
    <row r="55" spans="1:27" ht="13.8" hidden="1" outlineLevel="1" x14ac:dyDescent="0.25">
      <c r="A55" s="475"/>
      <c r="B55" s="460" t="s">
        <v>335</v>
      </c>
      <c r="C55" s="445"/>
      <c r="D55" s="475"/>
      <c r="E55" s="475"/>
      <c r="F55" s="705"/>
      <c r="G55" s="705"/>
      <c r="H55" s="705">
        <f t="shared" si="0"/>
        <v>0</v>
      </c>
      <c r="I55" s="705">
        <f t="shared" si="21"/>
        <v>0</v>
      </c>
      <c r="J55" s="706"/>
      <c r="K55" s="707"/>
      <c r="L55" s="708">
        <f t="shared" si="15"/>
        <v>0</v>
      </c>
      <c r="M55" s="709">
        <f t="shared" si="1"/>
        <v>0</v>
      </c>
      <c r="N55" s="709">
        <f t="shared" si="2"/>
        <v>0</v>
      </c>
      <c r="O55" s="709">
        <f t="shared" si="3"/>
        <v>0</v>
      </c>
      <c r="P55" s="709">
        <f t="shared" si="4"/>
        <v>0</v>
      </c>
      <c r="Q55" s="709">
        <f t="shared" si="5"/>
        <v>0</v>
      </c>
      <c r="R55" s="709">
        <f t="shared" si="6"/>
        <v>0</v>
      </c>
      <c r="S55" s="709">
        <f t="shared" si="7"/>
        <v>0</v>
      </c>
      <c r="T55" s="709">
        <f t="shared" si="8"/>
        <v>0</v>
      </c>
      <c r="U55" s="709">
        <f t="shared" si="9"/>
        <v>0</v>
      </c>
      <c r="V55" s="709">
        <f t="shared" si="20"/>
        <v>0</v>
      </c>
      <c r="W55" s="472"/>
      <c r="X55" s="574">
        <f t="shared" si="11"/>
        <v>0</v>
      </c>
      <c r="Y55" s="422" t="b">
        <f t="shared" si="12"/>
        <v>1</v>
      </c>
      <c r="Z55" s="574">
        <f t="shared" si="13"/>
        <v>0</v>
      </c>
      <c r="AA55" s="710" t="e">
        <f t="shared" si="14"/>
        <v>#DIV/0!</v>
      </c>
    </row>
    <row r="56" spans="1:27" ht="13.8" hidden="1" outlineLevel="1" x14ac:dyDescent="0.25">
      <c r="A56" s="475"/>
      <c r="B56" s="460" t="s">
        <v>336</v>
      </c>
      <c r="C56" s="445" t="s">
        <v>97</v>
      </c>
      <c r="D56" s="475" t="s">
        <v>41</v>
      </c>
      <c r="E56" s="475" t="s">
        <v>42</v>
      </c>
      <c r="F56" s="705">
        <f>$F$16</f>
        <v>41.43</v>
      </c>
      <c r="G56" s="705">
        <v>0.17</v>
      </c>
      <c r="H56" s="705">
        <f t="shared" si="0"/>
        <v>0.12</v>
      </c>
      <c r="I56" s="705">
        <f t="shared" si="21"/>
        <v>0.05</v>
      </c>
      <c r="J56" s="706">
        <f>I56/K56</f>
        <v>1E-3</v>
      </c>
      <c r="K56" s="707">
        <f>8/H56</f>
        <v>67</v>
      </c>
      <c r="L56" s="708">
        <f t="shared" si="15"/>
        <v>0.12</v>
      </c>
      <c r="M56" s="709">
        <f t="shared" si="1"/>
        <v>4.97</v>
      </c>
      <c r="N56" s="709">
        <f t="shared" si="2"/>
        <v>0.5</v>
      </c>
      <c r="O56" s="709">
        <f t="shared" si="3"/>
        <v>1.31</v>
      </c>
      <c r="P56" s="709">
        <f t="shared" si="4"/>
        <v>9.75</v>
      </c>
      <c r="Q56" s="709">
        <f t="shared" si="5"/>
        <v>16.53</v>
      </c>
      <c r="R56" s="709">
        <f t="shared" si="6"/>
        <v>1.27</v>
      </c>
      <c r="S56" s="709">
        <f t="shared" si="7"/>
        <v>3.2</v>
      </c>
      <c r="T56" s="709">
        <f t="shared" si="8"/>
        <v>21</v>
      </c>
      <c r="U56" s="709">
        <f t="shared" si="9"/>
        <v>1.75</v>
      </c>
      <c r="V56" s="709">
        <f t="shared" si="20"/>
        <v>0.57999999999999996</v>
      </c>
      <c r="W56" s="472"/>
      <c r="X56" s="574">
        <f t="shared" si="11"/>
        <v>16.53</v>
      </c>
      <c r="Y56" s="422" t="b">
        <f t="shared" si="12"/>
        <v>1</v>
      </c>
      <c r="Z56" s="574">
        <f t="shared" si="13"/>
        <v>21</v>
      </c>
      <c r="AA56" s="710">
        <f t="shared" si="14"/>
        <v>0.08</v>
      </c>
    </row>
    <row r="57" spans="1:27" ht="13.8" hidden="1" outlineLevel="1" x14ac:dyDescent="0.25">
      <c r="A57" s="475"/>
      <c r="B57" s="460" t="s">
        <v>337</v>
      </c>
      <c r="C57" s="445" t="s">
        <v>45</v>
      </c>
      <c r="D57" s="475" t="s">
        <v>45</v>
      </c>
      <c r="E57" s="475"/>
      <c r="F57" s="705">
        <f>$F$16</f>
        <v>41.43</v>
      </c>
      <c r="G57" s="705">
        <v>0.22</v>
      </c>
      <c r="H57" s="705">
        <f t="shared" si="0"/>
        <v>0.15</v>
      </c>
      <c r="I57" s="705">
        <f t="shared" si="21"/>
        <v>7.0000000000000007E-2</v>
      </c>
      <c r="J57" s="706">
        <f>I57/K57</f>
        <v>1E-3</v>
      </c>
      <c r="K57" s="707">
        <f>8/H57</f>
        <v>53</v>
      </c>
      <c r="L57" s="708">
        <f t="shared" si="15"/>
        <v>0.15</v>
      </c>
      <c r="M57" s="709">
        <f t="shared" si="1"/>
        <v>6.21</v>
      </c>
      <c r="N57" s="709">
        <f t="shared" si="2"/>
        <v>0.62</v>
      </c>
      <c r="O57" s="709">
        <f t="shared" si="3"/>
        <v>1.63</v>
      </c>
      <c r="P57" s="709">
        <f t="shared" si="4"/>
        <v>12.18</v>
      </c>
      <c r="Q57" s="709">
        <f t="shared" si="5"/>
        <v>20.64</v>
      </c>
      <c r="R57" s="709">
        <f t="shared" si="6"/>
        <v>2.2400000000000002</v>
      </c>
      <c r="S57" s="709">
        <f t="shared" si="7"/>
        <v>4.12</v>
      </c>
      <c r="T57" s="709">
        <f t="shared" si="8"/>
        <v>27</v>
      </c>
      <c r="U57" s="709">
        <f t="shared" si="9"/>
        <v>2.25</v>
      </c>
      <c r="V57" s="709">
        <f t="shared" si="20"/>
        <v>0.75</v>
      </c>
      <c r="W57" s="472"/>
      <c r="X57" s="574">
        <f t="shared" si="11"/>
        <v>20.64</v>
      </c>
      <c r="Y57" s="422" t="b">
        <f t="shared" si="12"/>
        <v>1</v>
      </c>
      <c r="Z57" s="574">
        <f t="shared" si="13"/>
        <v>27</v>
      </c>
      <c r="AA57" s="710">
        <f t="shared" si="14"/>
        <v>0.11</v>
      </c>
    </row>
    <row r="58" spans="1:27" ht="13.8" hidden="1" outlineLevel="1" x14ac:dyDescent="0.25">
      <c r="A58" s="475"/>
      <c r="B58" s="460" t="s">
        <v>338</v>
      </c>
      <c r="C58" s="445" t="s">
        <v>45</v>
      </c>
      <c r="D58" s="475" t="s">
        <v>45</v>
      </c>
      <c r="E58" s="475"/>
      <c r="F58" s="705">
        <f>$F$16</f>
        <v>41.43</v>
      </c>
      <c r="G58" s="705">
        <v>0.35</v>
      </c>
      <c r="H58" s="705">
        <f t="shared" si="0"/>
        <v>0.24</v>
      </c>
      <c r="I58" s="705">
        <f t="shared" si="21"/>
        <v>0.11</v>
      </c>
      <c r="J58" s="706">
        <f>I58/K58</f>
        <v>3.0000000000000001E-3</v>
      </c>
      <c r="K58" s="707">
        <f>8/H58</f>
        <v>33</v>
      </c>
      <c r="L58" s="708">
        <f t="shared" si="15"/>
        <v>0.24</v>
      </c>
      <c r="M58" s="709">
        <f t="shared" si="1"/>
        <v>9.94</v>
      </c>
      <c r="N58" s="709">
        <f t="shared" si="2"/>
        <v>0.99</v>
      </c>
      <c r="O58" s="709">
        <f t="shared" si="3"/>
        <v>2.61</v>
      </c>
      <c r="P58" s="709">
        <f t="shared" si="4"/>
        <v>19.5</v>
      </c>
      <c r="Q58" s="709">
        <f t="shared" si="5"/>
        <v>33.04</v>
      </c>
      <c r="R58" s="709">
        <f t="shared" si="6"/>
        <v>3.4</v>
      </c>
      <c r="S58" s="709">
        <f t="shared" si="7"/>
        <v>6.56</v>
      </c>
      <c r="T58" s="709">
        <f t="shared" si="8"/>
        <v>43</v>
      </c>
      <c r="U58" s="709">
        <f t="shared" si="9"/>
        <v>3.58</v>
      </c>
      <c r="V58" s="709">
        <f t="shared" si="20"/>
        <v>1.19</v>
      </c>
      <c r="W58" s="472"/>
      <c r="X58" s="574">
        <f t="shared" si="11"/>
        <v>33.04</v>
      </c>
      <c r="Y58" s="422" t="b">
        <f t="shared" si="12"/>
        <v>1</v>
      </c>
      <c r="Z58" s="574">
        <f t="shared" si="13"/>
        <v>43</v>
      </c>
      <c r="AA58" s="710">
        <f t="shared" si="14"/>
        <v>0.1</v>
      </c>
    </row>
    <row r="59" spans="1:27" ht="13.8" hidden="1" outlineLevel="1" x14ac:dyDescent="0.25">
      <c r="A59" s="475"/>
      <c r="B59" s="460" t="s">
        <v>98</v>
      </c>
      <c r="C59" s="445"/>
      <c r="D59" s="475"/>
      <c r="E59" s="475"/>
      <c r="F59" s="705"/>
      <c r="G59" s="705"/>
      <c r="H59" s="705">
        <f t="shared" si="0"/>
        <v>0</v>
      </c>
      <c r="I59" s="705">
        <f t="shared" si="21"/>
        <v>0</v>
      </c>
      <c r="J59" s="706"/>
      <c r="K59" s="707"/>
      <c r="L59" s="708">
        <f t="shared" si="15"/>
        <v>0</v>
      </c>
      <c r="M59" s="709">
        <f t="shared" si="1"/>
        <v>0</v>
      </c>
      <c r="N59" s="709">
        <f t="shared" si="2"/>
        <v>0</v>
      </c>
      <c r="O59" s="709">
        <f t="shared" si="3"/>
        <v>0</v>
      </c>
      <c r="P59" s="709">
        <f t="shared" si="4"/>
        <v>0</v>
      </c>
      <c r="Q59" s="709">
        <f t="shared" si="5"/>
        <v>0</v>
      </c>
      <c r="R59" s="709">
        <f t="shared" si="6"/>
        <v>0</v>
      </c>
      <c r="S59" s="709">
        <f t="shared" si="7"/>
        <v>0</v>
      </c>
      <c r="T59" s="709">
        <f t="shared" si="8"/>
        <v>0</v>
      </c>
      <c r="U59" s="709">
        <f t="shared" si="9"/>
        <v>0</v>
      </c>
      <c r="V59" s="709">
        <f t="shared" si="20"/>
        <v>0</v>
      </c>
      <c r="W59" s="472"/>
      <c r="X59" s="574">
        <f t="shared" si="11"/>
        <v>0</v>
      </c>
      <c r="Y59" s="422" t="b">
        <f t="shared" si="12"/>
        <v>1</v>
      </c>
      <c r="Z59" s="574">
        <f t="shared" si="13"/>
        <v>0</v>
      </c>
      <c r="AA59" s="710" t="e">
        <f t="shared" si="14"/>
        <v>#DIV/0!</v>
      </c>
    </row>
    <row r="60" spans="1:27" ht="13.8" collapsed="1" x14ac:dyDescent="0.25">
      <c r="A60" s="721" t="s">
        <v>74</v>
      </c>
      <c r="B60" s="997" t="s">
        <v>1441</v>
      </c>
      <c r="C60" s="445"/>
      <c r="D60" s="475"/>
      <c r="E60" s="475"/>
      <c r="F60" s="705"/>
      <c r="G60" s="705"/>
      <c r="H60" s="705">
        <f t="shared" si="0"/>
        <v>0</v>
      </c>
      <c r="I60" s="705">
        <f t="shared" si="21"/>
        <v>0</v>
      </c>
      <c r="J60" s="706"/>
      <c r="K60" s="707"/>
      <c r="L60" s="708">
        <f t="shared" si="15"/>
        <v>0</v>
      </c>
      <c r="M60" s="709">
        <f t="shared" si="1"/>
        <v>0</v>
      </c>
      <c r="N60" s="709">
        <f t="shared" si="2"/>
        <v>0</v>
      </c>
      <c r="O60" s="709">
        <f t="shared" si="3"/>
        <v>0</v>
      </c>
      <c r="P60" s="709">
        <f t="shared" si="4"/>
        <v>0</v>
      </c>
      <c r="Q60" s="709">
        <f t="shared" si="5"/>
        <v>0</v>
      </c>
      <c r="R60" s="709">
        <f t="shared" si="6"/>
        <v>0</v>
      </c>
      <c r="S60" s="709">
        <f t="shared" si="7"/>
        <v>0</v>
      </c>
      <c r="T60" s="709">
        <f t="shared" si="8"/>
        <v>0</v>
      </c>
      <c r="U60" s="709">
        <f t="shared" si="9"/>
        <v>0</v>
      </c>
      <c r="V60" s="709">
        <f t="shared" si="20"/>
        <v>0</v>
      </c>
      <c r="W60" s="472"/>
      <c r="X60" s="574">
        <f t="shared" si="11"/>
        <v>0</v>
      </c>
      <c r="Y60" s="422" t="b">
        <f t="shared" si="12"/>
        <v>1</v>
      </c>
      <c r="Z60" s="574">
        <f t="shared" si="13"/>
        <v>0</v>
      </c>
      <c r="AA60" s="710" t="e">
        <f t="shared" si="14"/>
        <v>#DIV/0!</v>
      </c>
    </row>
    <row r="61" spans="1:27" ht="13.8" x14ac:dyDescent="0.25">
      <c r="A61" s="475"/>
      <c r="B61" s="997"/>
      <c r="C61" s="445"/>
      <c r="D61" s="475"/>
      <c r="E61" s="475"/>
      <c r="F61" s="705"/>
      <c r="G61" s="705"/>
      <c r="H61" s="705"/>
      <c r="I61" s="705"/>
      <c r="J61" s="706"/>
      <c r="K61" s="707"/>
      <c r="L61" s="708"/>
      <c r="M61" s="709"/>
      <c r="N61" s="709"/>
      <c r="O61" s="709"/>
      <c r="P61" s="709"/>
      <c r="Q61" s="709"/>
      <c r="R61" s="709"/>
      <c r="S61" s="709"/>
      <c r="T61" s="709"/>
      <c r="U61" s="709"/>
      <c r="V61" s="709"/>
      <c r="W61" s="472"/>
      <c r="X61" s="574"/>
      <c r="Z61" s="574"/>
      <c r="AA61" s="710"/>
    </row>
    <row r="62" spans="1:27" ht="13.8" x14ac:dyDescent="0.25">
      <c r="A62" s="475"/>
      <c r="B62" s="997"/>
      <c r="C62" s="445" t="s">
        <v>88</v>
      </c>
      <c r="D62" s="475" t="s">
        <v>42</v>
      </c>
      <c r="E62" s="475" t="s">
        <v>54</v>
      </c>
      <c r="F62" s="705">
        <f>$F$29</f>
        <v>53.44</v>
      </c>
      <c r="G62" s="705">
        <v>0.52</v>
      </c>
      <c r="H62" s="705">
        <f t="shared" ref="H62:H76" si="22">G62/1.44</f>
        <v>0.36</v>
      </c>
      <c r="I62" s="705">
        <v>0.25</v>
      </c>
      <c r="J62" s="706">
        <f>I62/K62</f>
        <v>1.0999999999999999E-2</v>
      </c>
      <c r="K62" s="707">
        <f>8/H62</f>
        <v>22</v>
      </c>
      <c r="L62" s="708">
        <f t="shared" ref="L62:L76" si="23">H62+J62</f>
        <v>0.37</v>
      </c>
      <c r="M62" s="709">
        <f t="shared" ref="M62:M76" si="24">F62*L62</f>
        <v>19.77</v>
      </c>
      <c r="N62" s="709">
        <f t="shared" ref="N62:N76" si="25">M62*10%</f>
        <v>1.98</v>
      </c>
      <c r="O62" s="709">
        <f t="shared" ref="O62:O77" si="26">M62*26.3%</f>
        <v>5.2</v>
      </c>
      <c r="P62" s="709">
        <f t="shared" ref="P62:P76" si="27">M62*196.2%</f>
        <v>38.79</v>
      </c>
      <c r="Q62" s="709">
        <f t="shared" ref="Q62:Q76" si="28">M62+N62+O62+P62</f>
        <v>65.739999999999995</v>
      </c>
      <c r="R62" s="709">
        <f t="shared" ref="R62:R76" si="29">T62/1.18-Q62</f>
        <v>6.29</v>
      </c>
      <c r="S62" s="709">
        <f t="shared" ref="S62:S76" si="30">(Q62+R62)*18%</f>
        <v>12.97</v>
      </c>
      <c r="T62" s="709">
        <f t="shared" ref="T62:T78" si="31">ROUND(Q62*1.298,0)</f>
        <v>85</v>
      </c>
      <c r="U62" s="709">
        <f t="shared" ref="U62:U77" si="32">T62/12</f>
        <v>7.08</v>
      </c>
      <c r="V62" s="709"/>
      <c r="W62" s="472"/>
      <c r="X62" s="574">
        <f t="shared" ref="X62:X95" si="33">M62+N62+O62+P62</f>
        <v>65.739999999999995</v>
      </c>
      <c r="Y62" s="422" t="b">
        <f t="shared" ref="Y62:Y95" si="34">Q62=X62</f>
        <v>1</v>
      </c>
      <c r="Z62" s="574">
        <f t="shared" ref="Z62:Z95" si="35">Q62+R62+S62</f>
        <v>85</v>
      </c>
      <c r="AA62" s="710">
        <f t="shared" ref="AA62:AA95" si="36">R62/Q62</f>
        <v>0.1</v>
      </c>
    </row>
    <row r="63" spans="1:27" ht="13.8" hidden="1" outlineLevel="1" x14ac:dyDescent="0.25">
      <c r="A63" s="475"/>
      <c r="B63" s="469" t="s">
        <v>339</v>
      </c>
      <c r="C63" s="445" t="s">
        <v>45</v>
      </c>
      <c r="D63" s="475" t="s">
        <v>45</v>
      </c>
      <c r="E63" s="475"/>
      <c r="F63" s="705">
        <f>$F$29</f>
        <v>53.44</v>
      </c>
      <c r="G63" s="705">
        <v>0.6</v>
      </c>
      <c r="H63" s="705">
        <f t="shared" si="22"/>
        <v>0.42</v>
      </c>
      <c r="I63" s="705">
        <v>0.25</v>
      </c>
      <c r="J63" s="706">
        <f>I63/K63</f>
        <v>1.2999999999999999E-2</v>
      </c>
      <c r="K63" s="707">
        <f>8/H63</f>
        <v>19</v>
      </c>
      <c r="L63" s="708">
        <f t="shared" si="23"/>
        <v>0.43</v>
      </c>
      <c r="M63" s="709">
        <f t="shared" si="24"/>
        <v>22.98</v>
      </c>
      <c r="N63" s="709">
        <f t="shared" si="25"/>
        <v>2.2999999999999998</v>
      </c>
      <c r="O63" s="709">
        <f t="shared" si="26"/>
        <v>6.04</v>
      </c>
      <c r="P63" s="709">
        <f t="shared" si="27"/>
        <v>45.09</v>
      </c>
      <c r="Q63" s="709">
        <f t="shared" si="28"/>
        <v>76.41</v>
      </c>
      <c r="R63" s="709">
        <f t="shared" si="29"/>
        <v>7.49</v>
      </c>
      <c r="S63" s="709">
        <f t="shared" si="30"/>
        <v>15.1</v>
      </c>
      <c r="T63" s="709">
        <f t="shared" si="31"/>
        <v>99</v>
      </c>
      <c r="U63" s="709">
        <f t="shared" si="32"/>
        <v>8.25</v>
      </c>
      <c r="V63" s="709">
        <f t="shared" ref="V63:V77" si="37">U63/3</f>
        <v>2.75</v>
      </c>
      <c r="W63" s="472"/>
      <c r="X63" s="574">
        <f t="shared" si="33"/>
        <v>76.41</v>
      </c>
      <c r="Y63" s="422" t="b">
        <f t="shared" si="34"/>
        <v>1</v>
      </c>
      <c r="Z63" s="574">
        <f t="shared" si="35"/>
        <v>99</v>
      </c>
      <c r="AA63" s="710">
        <f t="shared" si="36"/>
        <v>0.1</v>
      </c>
    </row>
    <row r="64" spans="1:27" ht="13.8" hidden="1" outlineLevel="1" x14ac:dyDescent="0.25">
      <c r="A64" s="475"/>
      <c r="B64" s="470" t="s">
        <v>340</v>
      </c>
      <c r="C64" s="445" t="s">
        <v>45</v>
      </c>
      <c r="D64" s="475" t="s">
        <v>45</v>
      </c>
      <c r="E64" s="475"/>
      <c r="F64" s="705">
        <f>$F$29</f>
        <v>53.44</v>
      </c>
      <c r="G64" s="705">
        <v>0.72</v>
      </c>
      <c r="H64" s="705">
        <f t="shared" si="22"/>
        <v>0.5</v>
      </c>
      <c r="I64" s="705">
        <v>0.25</v>
      </c>
      <c r="J64" s="706">
        <f>I64/K64</f>
        <v>1.6E-2</v>
      </c>
      <c r="K64" s="707">
        <f>8/H64</f>
        <v>16</v>
      </c>
      <c r="L64" s="708">
        <f t="shared" si="23"/>
        <v>0.52</v>
      </c>
      <c r="M64" s="709">
        <f t="shared" si="24"/>
        <v>27.79</v>
      </c>
      <c r="N64" s="709">
        <f t="shared" si="25"/>
        <v>2.78</v>
      </c>
      <c r="O64" s="709">
        <f t="shared" si="26"/>
        <v>7.31</v>
      </c>
      <c r="P64" s="709">
        <f t="shared" si="27"/>
        <v>54.52</v>
      </c>
      <c r="Q64" s="709">
        <f t="shared" si="28"/>
        <v>92.4</v>
      </c>
      <c r="R64" s="709">
        <f t="shared" si="29"/>
        <v>9.2899999999999991</v>
      </c>
      <c r="S64" s="709">
        <f t="shared" si="30"/>
        <v>18.3</v>
      </c>
      <c r="T64" s="709">
        <f t="shared" si="31"/>
        <v>120</v>
      </c>
      <c r="U64" s="709">
        <f t="shared" si="32"/>
        <v>10</v>
      </c>
      <c r="V64" s="709">
        <f t="shared" si="37"/>
        <v>3.33</v>
      </c>
      <c r="W64" s="472"/>
      <c r="X64" s="574">
        <f t="shared" si="33"/>
        <v>92.4</v>
      </c>
      <c r="Y64" s="422" t="b">
        <f t="shared" si="34"/>
        <v>1</v>
      </c>
      <c r="Z64" s="574">
        <f t="shared" si="35"/>
        <v>119.99</v>
      </c>
      <c r="AA64" s="710">
        <f t="shared" si="36"/>
        <v>0.1</v>
      </c>
    </row>
    <row r="65" spans="1:27" ht="13.8" hidden="1" outlineLevel="1" x14ac:dyDescent="0.25">
      <c r="A65" s="475"/>
      <c r="B65" s="470" t="s">
        <v>341</v>
      </c>
      <c r="C65" s="445" t="s">
        <v>45</v>
      </c>
      <c r="D65" s="475" t="s">
        <v>45</v>
      </c>
      <c r="E65" s="475"/>
      <c r="F65" s="705">
        <f>$F$29</f>
        <v>53.44</v>
      </c>
      <c r="G65" s="705">
        <v>0.84</v>
      </c>
      <c r="H65" s="705">
        <f t="shared" si="22"/>
        <v>0.57999999999999996</v>
      </c>
      <c r="I65" s="705">
        <v>0.25</v>
      </c>
      <c r="J65" s="706">
        <f>I65/K65</f>
        <v>1.7999999999999999E-2</v>
      </c>
      <c r="K65" s="707">
        <f>8/H65</f>
        <v>14</v>
      </c>
      <c r="L65" s="708">
        <f t="shared" si="23"/>
        <v>0.6</v>
      </c>
      <c r="M65" s="709">
        <f t="shared" si="24"/>
        <v>32.06</v>
      </c>
      <c r="N65" s="709">
        <f t="shared" si="25"/>
        <v>3.21</v>
      </c>
      <c r="O65" s="709">
        <f t="shared" si="26"/>
        <v>8.43</v>
      </c>
      <c r="P65" s="709">
        <f t="shared" si="27"/>
        <v>62.9</v>
      </c>
      <c r="Q65" s="709">
        <f t="shared" si="28"/>
        <v>106.6</v>
      </c>
      <c r="R65" s="709">
        <f t="shared" si="29"/>
        <v>10.35</v>
      </c>
      <c r="S65" s="709">
        <f t="shared" si="30"/>
        <v>21.05</v>
      </c>
      <c r="T65" s="709">
        <f>ROUND(Q65*1.298,0)</f>
        <v>138</v>
      </c>
      <c r="U65" s="709">
        <f t="shared" si="32"/>
        <v>11.5</v>
      </c>
      <c r="V65" s="709">
        <f t="shared" si="37"/>
        <v>3.83</v>
      </c>
      <c r="W65" s="472"/>
      <c r="X65" s="574">
        <f t="shared" si="33"/>
        <v>106.6</v>
      </c>
      <c r="Y65" s="422" t="b">
        <f t="shared" si="34"/>
        <v>1</v>
      </c>
      <c r="Z65" s="574">
        <f t="shared" si="35"/>
        <v>138</v>
      </c>
      <c r="AA65" s="710">
        <f t="shared" si="36"/>
        <v>0.1</v>
      </c>
    </row>
    <row r="66" spans="1:27" ht="13.8" collapsed="1" x14ac:dyDescent="0.25">
      <c r="A66" s="475"/>
      <c r="B66" s="468" t="s">
        <v>342</v>
      </c>
      <c r="C66" s="445"/>
      <c r="D66" s="475"/>
      <c r="E66" s="475"/>
      <c r="F66" s="705"/>
      <c r="G66" s="705"/>
      <c r="H66" s="705">
        <f t="shared" si="22"/>
        <v>0</v>
      </c>
      <c r="I66" s="705">
        <f>G66-H66</f>
        <v>0</v>
      </c>
      <c r="J66" s="706"/>
      <c r="K66" s="707"/>
      <c r="L66" s="708">
        <f t="shared" si="23"/>
        <v>0</v>
      </c>
      <c r="M66" s="709">
        <f t="shared" si="24"/>
        <v>0</v>
      </c>
      <c r="N66" s="709">
        <f t="shared" si="25"/>
        <v>0</v>
      </c>
      <c r="O66" s="709">
        <f t="shared" si="26"/>
        <v>0</v>
      </c>
      <c r="P66" s="709">
        <f t="shared" si="27"/>
        <v>0</v>
      </c>
      <c r="Q66" s="709">
        <f t="shared" si="28"/>
        <v>0</v>
      </c>
      <c r="R66" s="709">
        <f t="shared" si="29"/>
        <v>0</v>
      </c>
      <c r="S66" s="709">
        <f t="shared" si="30"/>
        <v>0</v>
      </c>
      <c r="T66" s="709">
        <f t="shared" si="31"/>
        <v>0</v>
      </c>
      <c r="U66" s="709">
        <f t="shared" si="32"/>
        <v>0</v>
      </c>
      <c r="V66" s="709">
        <f t="shared" si="37"/>
        <v>0</v>
      </c>
      <c r="W66" s="472"/>
      <c r="X66" s="574">
        <f t="shared" si="33"/>
        <v>0</v>
      </c>
      <c r="Y66" s="422" t="b">
        <f t="shared" si="34"/>
        <v>1</v>
      </c>
      <c r="Z66" s="574">
        <f t="shared" si="35"/>
        <v>0</v>
      </c>
      <c r="AA66" s="710" t="e">
        <f t="shared" si="36"/>
        <v>#DIV/0!</v>
      </c>
    </row>
    <row r="67" spans="1:27" ht="13.8" x14ac:dyDescent="0.25">
      <c r="A67" s="475"/>
      <c r="B67" s="460" t="s">
        <v>343</v>
      </c>
      <c r="C67" s="445"/>
      <c r="D67" s="475"/>
      <c r="E67" s="475"/>
      <c r="F67" s="705"/>
      <c r="G67" s="705"/>
      <c r="H67" s="705">
        <f t="shared" si="22"/>
        <v>0</v>
      </c>
      <c r="I67" s="705">
        <f>G67-H67</f>
        <v>0</v>
      </c>
      <c r="J67" s="706"/>
      <c r="K67" s="707"/>
      <c r="L67" s="708">
        <f t="shared" si="23"/>
        <v>0</v>
      </c>
      <c r="M67" s="709">
        <f t="shared" si="24"/>
        <v>0</v>
      </c>
      <c r="N67" s="709">
        <f t="shared" si="25"/>
        <v>0</v>
      </c>
      <c r="O67" s="709">
        <f t="shared" si="26"/>
        <v>0</v>
      </c>
      <c r="P67" s="709">
        <f t="shared" si="27"/>
        <v>0</v>
      </c>
      <c r="Q67" s="709">
        <f t="shared" si="28"/>
        <v>0</v>
      </c>
      <c r="R67" s="709">
        <f t="shared" si="29"/>
        <v>0</v>
      </c>
      <c r="S67" s="709">
        <f t="shared" si="30"/>
        <v>0</v>
      </c>
      <c r="T67" s="709">
        <f t="shared" si="31"/>
        <v>0</v>
      </c>
      <c r="U67" s="709">
        <f t="shared" si="32"/>
        <v>0</v>
      </c>
      <c r="V67" s="709">
        <f t="shared" si="37"/>
        <v>0</v>
      </c>
      <c r="W67" s="472"/>
      <c r="X67" s="574">
        <f t="shared" si="33"/>
        <v>0</v>
      </c>
      <c r="Y67" s="422" t="b">
        <f t="shared" si="34"/>
        <v>1</v>
      </c>
      <c r="Z67" s="574">
        <f t="shared" si="35"/>
        <v>0</v>
      </c>
      <c r="AA67" s="710" t="e">
        <f t="shared" si="36"/>
        <v>#DIV/0!</v>
      </c>
    </row>
    <row r="68" spans="1:27" ht="13.8" x14ac:dyDescent="0.25">
      <c r="A68" s="475"/>
      <c r="B68" s="460" t="s">
        <v>344</v>
      </c>
      <c r="C68" s="445"/>
      <c r="D68" s="475"/>
      <c r="E68" s="475"/>
      <c r="F68" s="705"/>
      <c r="G68" s="705"/>
      <c r="H68" s="705">
        <f t="shared" si="22"/>
        <v>0</v>
      </c>
      <c r="I68" s="705">
        <f>G68-H68</f>
        <v>0</v>
      </c>
      <c r="J68" s="706"/>
      <c r="K68" s="707"/>
      <c r="L68" s="708">
        <f t="shared" si="23"/>
        <v>0</v>
      </c>
      <c r="M68" s="709">
        <f t="shared" si="24"/>
        <v>0</v>
      </c>
      <c r="N68" s="709">
        <f t="shared" si="25"/>
        <v>0</v>
      </c>
      <c r="O68" s="709">
        <f t="shared" si="26"/>
        <v>0</v>
      </c>
      <c r="P68" s="709">
        <f t="shared" si="27"/>
        <v>0</v>
      </c>
      <c r="Q68" s="709">
        <f t="shared" si="28"/>
        <v>0</v>
      </c>
      <c r="R68" s="709">
        <f t="shared" si="29"/>
        <v>0</v>
      </c>
      <c r="S68" s="709">
        <f t="shared" si="30"/>
        <v>0</v>
      </c>
      <c r="T68" s="709">
        <f t="shared" si="31"/>
        <v>0</v>
      </c>
      <c r="U68" s="709">
        <f t="shared" si="32"/>
        <v>0</v>
      </c>
      <c r="V68" s="709">
        <f t="shared" si="37"/>
        <v>0</v>
      </c>
      <c r="W68" s="472"/>
      <c r="X68" s="574">
        <f t="shared" si="33"/>
        <v>0</v>
      </c>
      <c r="Y68" s="422" t="b">
        <f t="shared" si="34"/>
        <v>1</v>
      </c>
      <c r="Z68" s="574">
        <f t="shared" si="35"/>
        <v>0</v>
      </c>
      <c r="AA68" s="710" t="e">
        <f t="shared" si="36"/>
        <v>#DIV/0!</v>
      </c>
    </row>
    <row r="69" spans="1:27" ht="18" hidden="1" customHeight="1" outlineLevel="1" x14ac:dyDescent="0.25">
      <c r="A69" s="475" t="s">
        <v>345</v>
      </c>
      <c r="B69" s="460" t="s">
        <v>346</v>
      </c>
      <c r="C69" s="445" t="s">
        <v>65</v>
      </c>
      <c r="D69" s="475" t="s">
        <v>41</v>
      </c>
      <c r="E69" s="475" t="s">
        <v>42</v>
      </c>
      <c r="F69" s="705">
        <f>$F$16</f>
        <v>41.43</v>
      </c>
      <c r="G69" s="705">
        <v>0.36</v>
      </c>
      <c r="H69" s="705">
        <f t="shared" si="22"/>
        <v>0.25</v>
      </c>
      <c r="I69" s="705">
        <v>0.25</v>
      </c>
      <c r="J69" s="706">
        <f>I69/K69</f>
        <v>8.0000000000000002E-3</v>
      </c>
      <c r="K69" s="707">
        <f>8/H69</f>
        <v>32</v>
      </c>
      <c r="L69" s="708">
        <f t="shared" si="23"/>
        <v>0.26</v>
      </c>
      <c r="M69" s="709">
        <f t="shared" si="24"/>
        <v>10.77</v>
      </c>
      <c r="N69" s="709">
        <f t="shared" si="25"/>
        <v>1.08</v>
      </c>
      <c r="O69" s="709">
        <f t="shared" si="26"/>
        <v>2.83</v>
      </c>
      <c r="P69" s="709">
        <f t="shared" si="27"/>
        <v>21.13</v>
      </c>
      <c r="Q69" s="709">
        <f t="shared" si="28"/>
        <v>35.81</v>
      </c>
      <c r="R69" s="709">
        <f t="shared" si="29"/>
        <v>3.17</v>
      </c>
      <c r="S69" s="709">
        <f t="shared" si="30"/>
        <v>7.02</v>
      </c>
      <c r="T69" s="709">
        <f t="shared" si="31"/>
        <v>46</v>
      </c>
      <c r="U69" s="709">
        <f t="shared" si="32"/>
        <v>3.83</v>
      </c>
      <c r="V69" s="709">
        <f t="shared" si="37"/>
        <v>1.28</v>
      </c>
      <c r="W69" s="472"/>
      <c r="X69" s="574">
        <f t="shared" si="33"/>
        <v>35.81</v>
      </c>
      <c r="Y69" s="422" t="b">
        <f t="shared" si="34"/>
        <v>1</v>
      </c>
      <c r="Z69" s="574">
        <f t="shared" si="35"/>
        <v>46</v>
      </c>
      <c r="AA69" s="710">
        <f t="shared" si="36"/>
        <v>0.09</v>
      </c>
    </row>
    <row r="70" spans="1:27" ht="13.8" hidden="1" outlineLevel="1" x14ac:dyDescent="0.25">
      <c r="A70" s="475"/>
      <c r="B70" s="460" t="s">
        <v>347</v>
      </c>
      <c r="C70" s="445"/>
      <c r="D70" s="475"/>
      <c r="E70" s="475"/>
      <c r="F70" s="705"/>
      <c r="G70" s="705"/>
      <c r="H70" s="705">
        <f t="shared" si="22"/>
        <v>0</v>
      </c>
      <c r="I70" s="705">
        <f>G70-H70</f>
        <v>0</v>
      </c>
      <c r="J70" s="706"/>
      <c r="K70" s="707"/>
      <c r="L70" s="708">
        <f t="shared" si="23"/>
        <v>0</v>
      </c>
      <c r="M70" s="709">
        <f t="shared" si="24"/>
        <v>0</v>
      </c>
      <c r="N70" s="709">
        <f t="shared" si="25"/>
        <v>0</v>
      </c>
      <c r="O70" s="709">
        <f t="shared" si="26"/>
        <v>0</v>
      </c>
      <c r="P70" s="709">
        <f t="shared" si="27"/>
        <v>0</v>
      </c>
      <c r="Q70" s="709">
        <f t="shared" si="28"/>
        <v>0</v>
      </c>
      <c r="R70" s="709">
        <f t="shared" si="29"/>
        <v>0</v>
      </c>
      <c r="S70" s="709">
        <f t="shared" si="30"/>
        <v>0</v>
      </c>
      <c r="T70" s="709">
        <f t="shared" si="31"/>
        <v>0</v>
      </c>
      <c r="U70" s="709">
        <f t="shared" si="32"/>
        <v>0</v>
      </c>
      <c r="V70" s="709">
        <f t="shared" si="37"/>
        <v>0</v>
      </c>
      <c r="W70" s="472"/>
      <c r="X70" s="574">
        <f t="shared" si="33"/>
        <v>0</v>
      </c>
      <c r="Y70" s="422" t="b">
        <f t="shared" si="34"/>
        <v>1</v>
      </c>
      <c r="Z70" s="574">
        <f t="shared" si="35"/>
        <v>0</v>
      </c>
      <c r="AA70" s="710" t="e">
        <f t="shared" si="36"/>
        <v>#DIV/0!</v>
      </c>
    </row>
    <row r="71" spans="1:27" ht="13.8" hidden="1" outlineLevel="1" x14ac:dyDescent="0.25">
      <c r="A71" s="475"/>
      <c r="B71" s="471" t="s">
        <v>348</v>
      </c>
      <c r="C71" s="445"/>
      <c r="D71" s="475"/>
      <c r="E71" s="475"/>
      <c r="F71" s="705"/>
      <c r="G71" s="705"/>
      <c r="H71" s="705">
        <f t="shared" si="22"/>
        <v>0</v>
      </c>
      <c r="I71" s="705">
        <f>G71-H71</f>
        <v>0</v>
      </c>
      <c r="J71" s="706"/>
      <c r="K71" s="707"/>
      <c r="L71" s="708">
        <f t="shared" si="23"/>
        <v>0</v>
      </c>
      <c r="M71" s="709">
        <f t="shared" si="24"/>
        <v>0</v>
      </c>
      <c r="N71" s="709">
        <f t="shared" si="25"/>
        <v>0</v>
      </c>
      <c r="O71" s="709">
        <f t="shared" si="26"/>
        <v>0</v>
      </c>
      <c r="P71" s="709">
        <f t="shared" si="27"/>
        <v>0</v>
      </c>
      <c r="Q71" s="709">
        <f t="shared" si="28"/>
        <v>0</v>
      </c>
      <c r="R71" s="709">
        <f t="shared" si="29"/>
        <v>0</v>
      </c>
      <c r="S71" s="709">
        <f t="shared" si="30"/>
        <v>0</v>
      </c>
      <c r="T71" s="709">
        <f t="shared" si="31"/>
        <v>0</v>
      </c>
      <c r="U71" s="709">
        <f t="shared" si="32"/>
        <v>0</v>
      </c>
      <c r="V71" s="709">
        <f t="shared" si="37"/>
        <v>0</v>
      </c>
      <c r="W71" s="472"/>
      <c r="X71" s="574">
        <f t="shared" si="33"/>
        <v>0</v>
      </c>
      <c r="Y71" s="422" t="b">
        <f t="shared" si="34"/>
        <v>1</v>
      </c>
      <c r="Z71" s="574">
        <f t="shared" si="35"/>
        <v>0</v>
      </c>
      <c r="AA71" s="710" t="e">
        <f t="shared" si="36"/>
        <v>#DIV/0!</v>
      </c>
    </row>
    <row r="72" spans="1:27" ht="13.8" hidden="1" outlineLevel="1" x14ac:dyDescent="0.25">
      <c r="A72" s="475"/>
      <c r="B72" s="471" t="s">
        <v>349</v>
      </c>
      <c r="C72" s="445"/>
      <c r="D72" s="475"/>
      <c r="E72" s="475"/>
      <c r="F72" s="705"/>
      <c r="G72" s="705"/>
      <c r="H72" s="705">
        <f t="shared" si="22"/>
        <v>0</v>
      </c>
      <c r="I72" s="705">
        <f>G72-H72</f>
        <v>0</v>
      </c>
      <c r="J72" s="706"/>
      <c r="K72" s="707"/>
      <c r="L72" s="708">
        <f t="shared" si="23"/>
        <v>0</v>
      </c>
      <c r="M72" s="709">
        <f t="shared" si="24"/>
        <v>0</v>
      </c>
      <c r="N72" s="709">
        <f t="shared" si="25"/>
        <v>0</v>
      </c>
      <c r="O72" s="709">
        <f t="shared" si="26"/>
        <v>0</v>
      </c>
      <c r="P72" s="709">
        <f t="shared" si="27"/>
        <v>0</v>
      </c>
      <c r="Q72" s="709">
        <f t="shared" si="28"/>
        <v>0</v>
      </c>
      <c r="R72" s="709">
        <f t="shared" si="29"/>
        <v>0</v>
      </c>
      <c r="S72" s="709">
        <f t="shared" si="30"/>
        <v>0</v>
      </c>
      <c r="T72" s="709">
        <f t="shared" si="31"/>
        <v>0</v>
      </c>
      <c r="U72" s="709">
        <f t="shared" si="32"/>
        <v>0</v>
      </c>
      <c r="V72" s="709">
        <f t="shared" si="37"/>
        <v>0</v>
      </c>
      <c r="W72" s="472"/>
      <c r="X72" s="574">
        <f t="shared" si="33"/>
        <v>0</v>
      </c>
      <c r="Y72" s="422" t="b">
        <f t="shared" si="34"/>
        <v>1</v>
      </c>
      <c r="Z72" s="574">
        <f t="shared" si="35"/>
        <v>0</v>
      </c>
      <c r="AA72" s="710" t="e">
        <f t="shared" si="36"/>
        <v>#DIV/0!</v>
      </c>
    </row>
    <row r="73" spans="1:27" ht="15.75" hidden="1" customHeight="1" outlineLevel="1" x14ac:dyDescent="0.25">
      <c r="A73" s="475" t="s">
        <v>350</v>
      </c>
      <c r="B73" s="471" t="s">
        <v>351</v>
      </c>
      <c r="C73" s="445" t="s">
        <v>45</v>
      </c>
      <c r="D73" s="475" t="s">
        <v>41</v>
      </c>
      <c r="E73" s="475" t="s">
        <v>42</v>
      </c>
      <c r="F73" s="705">
        <f>$F$16</f>
        <v>41.43</v>
      </c>
      <c r="G73" s="705">
        <v>0.26</v>
      </c>
      <c r="H73" s="705">
        <f t="shared" si="22"/>
        <v>0.18</v>
      </c>
      <c r="I73" s="705">
        <v>0.25</v>
      </c>
      <c r="J73" s="706">
        <f>I73/K73</f>
        <v>6.0000000000000001E-3</v>
      </c>
      <c r="K73" s="707">
        <f>8/H73</f>
        <v>44</v>
      </c>
      <c r="L73" s="708">
        <f t="shared" si="23"/>
        <v>0.19</v>
      </c>
      <c r="M73" s="709">
        <f t="shared" si="24"/>
        <v>7.87</v>
      </c>
      <c r="N73" s="709">
        <f t="shared" si="25"/>
        <v>0.79</v>
      </c>
      <c r="O73" s="709">
        <f t="shared" si="26"/>
        <v>2.0699999999999998</v>
      </c>
      <c r="P73" s="709">
        <f t="shared" si="27"/>
        <v>15.44</v>
      </c>
      <c r="Q73" s="709">
        <f t="shared" si="28"/>
        <v>26.17</v>
      </c>
      <c r="R73" s="709">
        <f t="shared" si="29"/>
        <v>2.64</v>
      </c>
      <c r="S73" s="709">
        <f t="shared" si="30"/>
        <v>5.19</v>
      </c>
      <c r="T73" s="709">
        <f t="shared" si="31"/>
        <v>34</v>
      </c>
      <c r="U73" s="709">
        <f t="shared" si="32"/>
        <v>2.83</v>
      </c>
      <c r="V73" s="709">
        <f t="shared" si="37"/>
        <v>0.94</v>
      </c>
      <c r="W73" s="472"/>
      <c r="X73" s="574">
        <f t="shared" si="33"/>
        <v>26.17</v>
      </c>
      <c r="Y73" s="422" t="b">
        <f t="shared" si="34"/>
        <v>1</v>
      </c>
      <c r="Z73" s="574">
        <f t="shared" si="35"/>
        <v>34</v>
      </c>
      <c r="AA73" s="710">
        <f t="shared" si="36"/>
        <v>0.1</v>
      </c>
    </row>
    <row r="74" spans="1:27" ht="13.5" hidden="1" customHeight="1" outlineLevel="1" x14ac:dyDescent="0.25">
      <c r="A74" s="475" t="s">
        <v>352</v>
      </c>
      <c r="B74" s="468" t="s">
        <v>353</v>
      </c>
      <c r="C74" s="445" t="s">
        <v>354</v>
      </c>
      <c r="D74" s="475" t="s">
        <v>42</v>
      </c>
      <c r="E74" s="475" t="s">
        <v>54</v>
      </c>
      <c r="F74" s="705">
        <f>$F$29</f>
        <v>53.44</v>
      </c>
      <c r="G74" s="705">
        <v>0.5</v>
      </c>
      <c r="H74" s="705">
        <f t="shared" si="22"/>
        <v>0.35</v>
      </c>
      <c r="I74" s="705">
        <v>0.25</v>
      </c>
      <c r="J74" s="706">
        <f>I74/K74</f>
        <v>1.0999999999999999E-2</v>
      </c>
      <c r="K74" s="707">
        <f>8/H74</f>
        <v>23</v>
      </c>
      <c r="L74" s="708">
        <f t="shared" si="23"/>
        <v>0.36</v>
      </c>
      <c r="M74" s="709">
        <f t="shared" si="24"/>
        <v>19.239999999999998</v>
      </c>
      <c r="N74" s="709">
        <f t="shared" si="25"/>
        <v>1.92</v>
      </c>
      <c r="O74" s="709">
        <f t="shared" si="26"/>
        <v>5.0599999999999996</v>
      </c>
      <c r="P74" s="709">
        <f t="shared" si="27"/>
        <v>37.75</v>
      </c>
      <c r="Q74" s="709">
        <f t="shared" si="28"/>
        <v>63.97</v>
      </c>
      <c r="R74" s="709">
        <f t="shared" si="29"/>
        <v>6.37</v>
      </c>
      <c r="S74" s="709">
        <f t="shared" si="30"/>
        <v>12.66</v>
      </c>
      <c r="T74" s="709">
        <f t="shared" si="31"/>
        <v>83</v>
      </c>
      <c r="U74" s="709">
        <f t="shared" si="32"/>
        <v>6.92</v>
      </c>
      <c r="V74" s="709">
        <f t="shared" si="37"/>
        <v>2.31</v>
      </c>
      <c r="W74" s="472"/>
      <c r="X74" s="574">
        <f t="shared" si="33"/>
        <v>63.97</v>
      </c>
      <c r="Y74" s="422" t="b">
        <f t="shared" si="34"/>
        <v>1</v>
      </c>
      <c r="Z74" s="574">
        <f t="shared" si="35"/>
        <v>83</v>
      </c>
      <c r="AA74" s="710">
        <f t="shared" si="36"/>
        <v>0.1</v>
      </c>
    </row>
    <row r="75" spans="1:27" ht="13.8" hidden="1" outlineLevel="1" x14ac:dyDescent="0.25">
      <c r="A75" s="475"/>
      <c r="B75" s="471" t="s">
        <v>355</v>
      </c>
      <c r="C75" s="445"/>
      <c r="D75" s="475"/>
      <c r="E75" s="475"/>
      <c r="F75" s="705"/>
      <c r="G75" s="705"/>
      <c r="H75" s="705">
        <f t="shared" si="22"/>
        <v>0</v>
      </c>
      <c r="I75" s="705">
        <f>G75-H75</f>
        <v>0</v>
      </c>
      <c r="J75" s="706"/>
      <c r="K75" s="707"/>
      <c r="L75" s="708">
        <f t="shared" si="23"/>
        <v>0</v>
      </c>
      <c r="M75" s="709">
        <f t="shared" si="24"/>
        <v>0</v>
      </c>
      <c r="N75" s="709">
        <f t="shared" si="25"/>
        <v>0</v>
      </c>
      <c r="O75" s="709">
        <f t="shared" si="26"/>
        <v>0</v>
      </c>
      <c r="P75" s="709">
        <f t="shared" si="27"/>
        <v>0</v>
      </c>
      <c r="Q75" s="709">
        <f t="shared" si="28"/>
        <v>0</v>
      </c>
      <c r="R75" s="709">
        <f t="shared" si="29"/>
        <v>0</v>
      </c>
      <c r="S75" s="709">
        <f t="shared" si="30"/>
        <v>0</v>
      </c>
      <c r="T75" s="709">
        <f t="shared" si="31"/>
        <v>0</v>
      </c>
      <c r="U75" s="709">
        <f t="shared" si="32"/>
        <v>0</v>
      </c>
      <c r="V75" s="709">
        <f t="shared" si="37"/>
        <v>0</v>
      </c>
      <c r="W75" s="472"/>
      <c r="X75" s="574">
        <f t="shared" si="33"/>
        <v>0</v>
      </c>
      <c r="Y75" s="422" t="b">
        <f t="shared" si="34"/>
        <v>1</v>
      </c>
      <c r="Z75" s="574">
        <f t="shared" si="35"/>
        <v>0</v>
      </c>
      <c r="AA75" s="710" t="e">
        <f t="shared" si="36"/>
        <v>#DIV/0!</v>
      </c>
    </row>
    <row r="76" spans="1:27" ht="18" hidden="1" customHeight="1" outlineLevel="1" x14ac:dyDescent="0.25">
      <c r="A76" s="475" t="s">
        <v>356</v>
      </c>
      <c r="B76" s="471" t="s">
        <v>357</v>
      </c>
      <c r="C76" s="445" t="s">
        <v>354</v>
      </c>
      <c r="D76" s="475" t="s">
        <v>41</v>
      </c>
      <c r="E76" s="475" t="s">
        <v>42</v>
      </c>
      <c r="F76" s="705">
        <f>$F$16</f>
        <v>41.43</v>
      </c>
      <c r="G76" s="705">
        <v>0.25</v>
      </c>
      <c r="H76" s="705">
        <f t="shared" si="22"/>
        <v>0.17</v>
      </c>
      <c r="I76" s="705">
        <v>0.25</v>
      </c>
      <c r="J76" s="706">
        <f>I76/K76</f>
        <v>5.0000000000000001E-3</v>
      </c>
      <c r="K76" s="707">
        <f>8/H76</f>
        <v>47</v>
      </c>
      <c r="L76" s="708">
        <f t="shared" si="23"/>
        <v>0.18</v>
      </c>
      <c r="M76" s="709">
        <f t="shared" si="24"/>
        <v>7.46</v>
      </c>
      <c r="N76" s="709">
        <f t="shared" si="25"/>
        <v>0.75</v>
      </c>
      <c r="O76" s="709">
        <f t="shared" si="26"/>
        <v>1.96</v>
      </c>
      <c r="P76" s="709">
        <f t="shared" si="27"/>
        <v>14.64</v>
      </c>
      <c r="Q76" s="709">
        <f t="shared" si="28"/>
        <v>24.81</v>
      </c>
      <c r="R76" s="709">
        <f t="shared" si="29"/>
        <v>2.31</v>
      </c>
      <c r="S76" s="709">
        <f t="shared" si="30"/>
        <v>4.88</v>
      </c>
      <c r="T76" s="709">
        <f t="shared" si="31"/>
        <v>32</v>
      </c>
      <c r="U76" s="709">
        <f t="shared" si="32"/>
        <v>2.67</v>
      </c>
      <c r="V76" s="709">
        <f t="shared" si="37"/>
        <v>0.89</v>
      </c>
      <c r="W76" s="472"/>
      <c r="X76" s="574">
        <f t="shared" si="33"/>
        <v>24.81</v>
      </c>
      <c r="Y76" s="422" t="b">
        <f t="shared" si="34"/>
        <v>1</v>
      </c>
      <c r="Z76" s="574">
        <f t="shared" si="35"/>
        <v>32</v>
      </c>
      <c r="AA76" s="710">
        <f t="shared" si="36"/>
        <v>0.09</v>
      </c>
    </row>
    <row r="77" spans="1:27" hidden="1" outlineLevel="1" x14ac:dyDescent="0.25">
      <c r="A77" s="475"/>
      <c r="B77" s="471" t="s">
        <v>358</v>
      </c>
      <c r="C77" s="445"/>
      <c r="D77" s="475"/>
      <c r="E77" s="475"/>
      <c r="F77" s="461"/>
      <c r="G77" s="461"/>
      <c r="H77" s="461"/>
      <c r="I77" s="461"/>
      <c r="J77" s="724"/>
      <c r="K77" s="461"/>
      <c r="L77" s="725"/>
      <c r="M77" s="463"/>
      <c r="N77" s="463"/>
      <c r="O77" s="463">
        <f t="shared" si="26"/>
        <v>0</v>
      </c>
      <c r="P77" s="463"/>
      <c r="Q77" s="463"/>
      <c r="R77" s="463"/>
      <c r="S77" s="463"/>
      <c r="T77" s="463">
        <f t="shared" si="31"/>
        <v>0</v>
      </c>
      <c r="U77" s="463">
        <f t="shared" si="32"/>
        <v>0</v>
      </c>
      <c r="V77" s="463">
        <f t="shared" si="37"/>
        <v>0</v>
      </c>
      <c r="W77" s="472"/>
      <c r="X77" s="574">
        <f t="shared" si="33"/>
        <v>0</v>
      </c>
      <c r="Y77" s="422" t="b">
        <f t="shared" si="34"/>
        <v>1</v>
      </c>
      <c r="Z77" s="574">
        <f t="shared" si="35"/>
        <v>0</v>
      </c>
      <c r="AA77" s="710" t="e">
        <f t="shared" si="36"/>
        <v>#DIV/0!</v>
      </c>
    </row>
    <row r="78" spans="1:27" hidden="1" outlineLevel="1" x14ac:dyDescent="0.25">
      <c r="A78" s="475"/>
      <c r="B78" s="477" t="s">
        <v>359</v>
      </c>
      <c r="C78" s="445"/>
      <c r="D78" s="475"/>
      <c r="E78" s="475"/>
      <c r="F78" s="461"/>
      <c r="G78" s="461"/>
      <c r="H78" s="461"/>
      <c r="I78" s="461"/>
      <c r="J78" s="461"/>
      <c r="K78" s="461"/>
      <c r="L78" s="725"/>
      <c r="M78" s="463"/>
      <c r="N78" s="463"/>
      <c r="O78" s="463"/>
      <c r="P78" s="463"/>
      <c r="Q78" s="463"/>
      <c r="R78" s="463"/>
      <c r="S78" s="463"/>
      <c r="T78" s="463">
        <f t="shared" si="31"/>
        <v>0</v>
      </c>
      <c r="U78" s="463"/>
      <c r="V78" s="463"/>
      <c r="W78" s="472"/>
      <c r="X78" s="574">
        <f t="shared" si="33"/>
        <v>0</v>
      </c>
      <c r="Y78" s="422" t="b">
        <f t="shared" si="34"/>
        <v>1</v>
      </c>
      <c r="Z78" s="574">
        <f t="shared" si="35"/>
        <v>0</v>
      </c>
      <c r="AA78" s="710" t="e">
        <f t="shared" si="36"/>
        <v>#DIV/0!</v>
      </c>
    </row>
    <row r="79" spans="1:27" ht="12.75" hidden="1" customHeight="1" outlineLevel="1" x14ac:dyDescent="0.25">
      <c r="A79" s="475"/>
      <c r="B79" s="478"/>
      <c r="C79" s="474"/>
      <c r="D79" s="475"/>
      <c r="E79" s="475"/>
      <c r="F79" s="462"/>
      <c r="G79" s="476"/>
      <c r="H79" s="476"/>
      <c r="I79" s="476"/>
      <c r="J79" s="476"/>
      <c r="K79" s="476"/>
      <c r="L79" s="726"/>
      <c r="M79" s="463"/>
      <c r="N79" s="463"/>
      <c r="O79" s="463"/>
      <c r="P79" s="463"/>
      <c r="Q79" s="463">
        <f>M79*4.353</f>
        <v>0</v>
      </c>
      <c r="R79" s="463"/>
      <c r="S79" s="463"/>
      <c r="T79" s="463"/>
      <c r="U79" s="463"/>
      <c r="V79" s="463"/>
      <c r="W79" s="472"/>
      <c r="X79" s="574">
        <f t="shared" si="33"/>
        <v>0</v>
      </c>
      <c r="Y79" s="422" t="b">
        <f t="shared" si="34"/>
        <v>1</v>
      </c>
      <c r="Z79" s="574">
        <f t="shared" si="35"/>
        <v>0</v>
      </c>
      <c r="AA79" s="710" t="e">
        <f t="shared" si="36"/>
        <v>#DIV/0!</v>
      </c>
    </row>
    <row r="80" spans="1:27" ht="12.75" hidden="1" customHeight="1" outlineLevel="1" x14ac:dyDescent="0.25">
      <c r="A80" s="711" t="s">
        <v>360</v>
      </c>
      <c r="B80" s="460" t="s">
        <v>361</v>
      </c>
      <c r="C80" s="445" t="s">
        <v>86</v>
      </c>
      <c r="D80" s="475" t="s">
        <v>41</v>
      </c>
      <c r="E80" s="475" t="s">
        <v>42</v>
      </c>
      <c r="F80" s="462">
        <f>$F$16</f>
        <v>41.43</v>
      </c>
      <c r="G80" s="462">
        <v>0.65</v>
      </c>
      <c r="H80" s="462"/>
      <c r="I80" s="462"/>
      <c r="J80" s="462"/>
      <c r="K80" s="462"/>
      <c r="L80" s="727"/>
      <c r="M80" s="463">
        <f>F80*G80</f>
        <v>26.93</v>
      </c>
      <c r="N80" s="463"/>
      <c r="O80" s="463"/>
      <c r="P80" s="463"/>
      <c r="Q80" s="463"/>
      <c r="R80" s="463"/>
      <c r="S80" s="463"/>
      <c r="T80" s="463"/>
      <c r="U80" s="463"/>
      <c r="V80" s="463"/>
      <c r="W80" s="472"/>
      <c r="X80" s="574">
        <f t="shared" si="33"/>
        <v>26.93</v>
      </c>
      <c r="Y80" s="422" t="b">
        <f t="shared" si="34"/>
        <v>0</v>
      </c>
      <c r="Z80" s="574">
        <f t="shared" si="35"/>
        <v>0</v>
      </c>
      <c r="AA80" s="710" t="e">
        <f t="shared" si="36"/>
        <v>#DIV/0!</v>
      </c>
    </row>
    <row r="81" spans="1:27" ht="12.75" hidden="1" customHeight="1" outlineLevel="1" x14ac:dyDescent="0.25">
      <c r="A81" s="711"/>
      <c r="B81" s="460"/>
      <c r="C81" s="445"/>
      <c r="D81" s="475"/>
      <c r="E81" s="475"/>
      <c r="F81" s="462"/>
      <c r="G81" s="462"/>
      <c r="H81" s="462"/>
      <c r="I81" s="462"/>
      <c r="J81" s="462"/>
      <c r="K81" s="462"/>
      <c r="L81" s="727"/>
      <c r="M81" s="463"/>
      <c r="N81" s="463"/>
      <c r="O81" s="463"/>
      <c r="P81" s="463"/>
      <c r="Q81" s="463">
        <f>M81*4.353</f>
        <v>0</v>
      </c>
      <c r="R81" s="463"/>
      <c r="S81" s="463"/>
      <c r="T81" s="463"/>
      <c r="U81" s="463"/>
      <c r="V81" s="463"/>
      <c r="W81" s="472"/>
      <c r="X81" s="574">
        <f t="shared" si="33"/>
        <v>0</v>
      </c>
      <c r="Y81" s="422" t="b">
        <f t="shared" si="34"/>
        <v>1</v>
      </c>
      <c r="Z81" s="574">
        <f t="shared" si="35"/>
        <v>0</v>
      </c>
      <c r="AA81" s="710" t="e">
        <f t="shared" si="36"/>
        <v>#DIV/0!</v>
      </c>
    </row>
    <row r="82" spans="1:27" ht="12.75" hidden="1" customHeight="1" outlineLevel="1" x14ac:dyDescent="0.25">
      <c r="A82" s="711" t="s">
        <v>362</v>
      </c>
      <c r="B82" s="460" t="s">
        <v>363</v>
      </c>
      <c r="C82" s="445" t="s">
        <v>45</v>
      </c>
      <c r="D82" s="475" t="s">
        <v>42</v>
      </c>
      <c r="E82" s="475" t="s">
        <v>54</v>
      </c>
      <c r="F82" s="462">
        <f>$F$29</f>
        <v>53.44</v>
      </c>
      <c r="G82" s="462">
        <v>0.86</v>
      </c>
      <c r="H82" s="462"/>
      <c r="I82" s="462"/>
      <c r="J82" s="462"/>
      <c r="K82" s="462"/>
      <c r="L82" s="727"/>
      <c r="M82" s="463">
        <f>F82*G82</f>
        <v>45.96</v>
      </c>
      <c r="N82" s="463"/>
      <c r="O82" s="463"/>
      <c r="P82" s="463"/>
      <c r="Q82" s="463"/>
      <c r="R82" s="463"/>
      <c r="S82" s="463"/>
      <c r="T82" s="463"/>
      <c r="U82" s="463"/>
      <c r="V82" s="463"/>
      <c r="W82" s="472"/>
      <c r="X82" s="574">
        <f t="shared" si="33"/>
        <v>45.96</v>
      </c>
      <c r="Y82" s="422" t="b">
        <f t="shared" si="34"/>
        <v>0</v>
      </c>
      <c r="Z82" s="574">
        <f t="shared" si="35"/>
        <v>0</v>
      </c>
      <c r="AA82" s="710" t="e">
        <f t="shared" si="36"/>
        <v>#DIV/0!</v>
      </c>
    </row>
    <row r="83" spans="1:27" ht="12.75" hidden="1" customHeight="1" outlineLevel="1" x14ac:dyDescent="0.25">
      <c r="A83" s="711"/>
      <c r="B83" s="460" t="s">
        <v>364</v>
      </c>
      <c r="C83" s="445"/>
      <c r="D83" s="475"/>
      <c r="E83" s="475"/>
      <c r="F83" s="462"/>
      <c r="G83" s="462"/>
      <c r="H83" s="462"/>
      <c r="I83" s="462"/>
      <c r="J83" s="462"/>
      <c r="K83" s="462"/>
      <c r="L83" s="727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72"/>
      <c r="X83" s="574">
        <f t="shared" si="33"/>
        <v>0</v>
      </c>
      <c r="Y83" s="422" t="b">
        <f t="shared" si="34"/>
        <v>1</v>
      </c>
      <c r="Z83" s="574">
        <f t="shared" si="35"/>
        <v>0</v>
      </c>
      <c r="AA83" s="710" t="e">
        <f t="shared" si="36"/>
        <v>#DIV/0!</v>
      </c>
    </row>
    <row r="84" spans="1:27" ht="12.75" hidden="1" customHeight="1" outlineLevel="1" x14ac:dyDescent="0.25">
      <c r="A84" s="711"/>
      <c r="B84" s="460"/>
      <c r="C84" s="445"/>
      <c r="D84" s="475"/>
      <c r="E84" s="475"/>
      <c r="F84" s="462"/>
      <c r="G84" s="462"/>
      <c r="H84" s="462"/>
      <c r="I84" s="462"/>
      <c r="J84" s="462"/>
      <c r="K84" s="462"/>
      <c r="L84" s="727"/>
      <c r="M84" s="463"/>
      <c r="N84" s="463"/>
      <c r="O84" s="463"/>
      <c r="P84" s="463"/>
      <c r="Q84" s="463">
        <f>M84*4.353</f>
        <v>0</v>
      </c>
      <c r="R84" s="463"/>
      <c r="S84" s="463"/>
      <c r="T84" s="463"/>
      <c r="U84" s="463"/>
      <c r="V84" s="463"/>
      <c r="W84" s="472"/>
      <c r="X84" s="574">
        <f t="shared" si="33"/>
        <v>0</v>
      </c>
      <c r="Y84" s="422" t="b">
        <f t="shared" si="34"/>
        <v>1</v>
      </c>
      <c r="Z84" s="574">
        <f t="shared" si="35"/>
        <v>0</v>
      </c>
      <c r="AA84" s="710" t="e">
        <f t="shared" si="36"/>
        <v>#DIV/0!</v>
      </c>
    </row>
    <row r="85" spans="1:27" ht="12.75" hidden="1" customHeight="1" outlineLevel="1" x14ac:dyDescent="0.25">
      <c r="A85" s="711" t="s">
        <v>365</v>
      </c>
      <c r="B85" s="460" t="s">
        <v>366</v>
      </c>
      <c r="C85" s="445" t="s">
        <v>45</v>
      </c>
      <c r="D85" s="475" t="s">
        <v>41</v>
      </c>
      <c r="E85" s="475" t="s">
        <v>42</v>
      </c>
      <c r="F85" s="462">
        <f>$F$16</f>
        <v>41.43</v>
      </c>
      <c r="G85" s="462">
        <v>0.71</v>
      </c>
      <c r="H85" s="462"/>
      <c r="I85" s="462"/>
      <c r="J85" s="462"/>
      <c r="K85" s="462"/>
      <c r="L85" s="727"/>
      <c r="M85" s="463">
        <f>F85*G85</f>
        <v>29.42</v>
      </c>
      <c r="N85" s="463"/>
      <c r="O85" s="463"/>
      <c r="P85" s="463"/>
      <c r="Q85" s="463"/>
      <c r="R85" s="463"/>
      <c r="S85" s="463"/>
      <c r="T85" s="463"/>
      <c r="U85" s="463"/>
      <c r="V85" s="463"/>
      <c r="W85" s="472"/>
      <c r="X85" s="574">
        <f t="shared" si="33"/>
        <v>29.42</v>
      </c>
      <c r="Y85" s="422" t="b">
        <f t="shared" si="34"/>
        <v>0</v>
      </c>
      <c r="Z85" s="574">
        <f t="shared" si="35"/>
        <v>0</v>
      </c>
      <c r="AA85" s="710" t="e">
        <f t="shared" si="36"/>
        <v>#DIV/0!</v>
      </c>
    </row>
    <row r="86" spans="1:27" ht="12" hidden="1" customHeight="1" outlineLevel="1" x14ac:dyDescent="0.25">
      <c r="A86" s="711"/>
      <c r="B86" s="460" t="s">
        <v>364</v>
      </c>
      <c r="C86" s="445"/>
      <c r="D86" s="475"/>
      <c r="E86" s="475"/>
      <c r="F86" s="462"/>
      <c r="G86" s="462"/>
      <c r="H86" s="462"/>
      <c r="I86" s="462"/>
      <c r="J86" s="462"/>
      <c r="K86" s="462"/>
      <c r="L86" s="727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72"/>
      <c r="X86" s="574">
        <f t="shared" si="33"/>
        <v>0</v>
      </c>
      <c r="Y86" s="422" t="b">
        <f t="shared" si="34"/>
        <v>1</v>
      </c>
      <c r="Z86" s="574">
        <f t="shared" si="35"/>
        <v>0</v>
      </c>
      <c r="AA86" s="710" t="e">
        <f t="shared" si="36"/>
        <v>#DIV/0!</v>
      </c>
    </row>
    <row r="87" spans="1:27" ht="12.75" hidden="1" customHeight="1" outlineLevel="1" x14ac:dyDescent="0.25">
      <c r="A87" s="445"/>
      <c r="B87" s="430"/>
      <c r="C87" s="481"/>
      <c r="D87" s="515"/>
      <c r="E87" s="515"/>
      <c r="F87" s="728"/>
      <c r="G87" s="729"/>
      <c r="H87" s="729"/>
      <c r="I87" s="729"/>
      <c r="J87" s="729"/>
      <c r="K87" s="729"/>
      <c r="L87" s="730"/>
      <c r="M87" s="463"/>
      <c r="N87" s="463"/>
      <c r="O87" s="463"/>
      <c r="P87" s="463"/>
      <c r="Q87" s="463">
        <f>M87*4.353</f>
        <v>0</v>
      </c>
      <c r="R87" s="463"/>
      <c r="S87" s="463"/>
      <c r="T87" s="463"/>
      <c r="U87" s="463"/>
      <c r="V87" s="463"/>
      <c r="W87" s="472"/>
      <c r="X87" s="574">
        <f t="shared" si="33"/>
        <v>0</v>
      </c>
      <c r="Y87" s="422" t="b">
        <f t="shared" si="34"/>
        <v>1</v>
      </c>
      <c r="Z87" s="574">
        <f t="shared" si="35"/>
        <v>0</v>
      </c>
      <c r="AA87" s="710" t="e">
        <f t="shared" si="36"/>
        <v>#DIV/0!</v>
      </c>
    </row>
    <row r="88" spans="1:27" ht="12.75" hidden="1" customHeight="1" outlineLevel="1" x14ac:dyDescent="0.25">
      <c r="A88" s="475" t="s">
        <v>367</v>
      </c>
      <c r="B88" s="460" t="s">
        <v>368</v>
      </c>
      <c r="C88" s="445" t="s">
        <v>53</v>
      </c>
      <c r="D88" s="475" t="s">
        <v>41</v>
      </c>
      <c r="E88" s="475" t="s">
        <v>42</v>
      </c>
      <c r="F88" s="462">
        <f>$F$16</f>
        <v>41.43</v>
      </c>
      <c r="G88" s="462">
        <v>0.74</v>
      </c>
      <c r="H88" s="462"/>
      <c r="I88" s="462"/>
      <c r="J88" s="462"/>
      <c r="K88" s="462"/>
      <c r="L88" s="727"/>
      <c r="M88" s="463">
        <f>F88*G88</f>
        <v>30.66</v>
      </c>
      <c r="N88" s="463"/>
      <c r="O88" s="463"/>
      <c r="P88" s="463"/>
      <c r="Q88" s="463"/>
      <c r="R88" s="463"/>
      <c r="S88" s="463"/>
      <c r="T88" s="463"/>
      <c r="U88" s="463"/>
      <c r="V88" s="463"/>
      <c r="W88" s="472"/>
      <c r="X88" s="574">
        <f t="shared" si="33"/>
        <v>30.66</v>
      </c>
      <c r="Y88" s="422" t="b">
        <f t="shared" si="34"/>
        <v>0</v>
      </c>
      <c r="Z88" s="574">
        <f t="shared" si="35"/>
        <v>0</v>
      </c>
      <c r="AA88" s="710" t="e">
        <f t="shared" si="36"/>
        <v>#DIV/0!</v>
      </c>
    </row>
    <row r="89" spans="1:27" ht="12.75" hidden="1" customHeight="1" outlineLevel="1" x14ac:dyDescent="0.25">
      <c r="A89" s="445"/>
      <c r="B89" s="430"/>
      <c r="C89" s="481"/>
      <c r="D89" s="515"/>
      <c r="E89" s="515"/>
      <c r="F89" s="728"/>
      <c r="G89" s="729"/>
      <c r="H89" s="729"/>
      <c r="I89" s="729"/>
      <c r="J89" s="729"/>
      <c r="K89" s="729"/>
      <c r="L89" s="730"/>
      <c r="M89" s="463"/>
      <c r="N89" s="463"/>
      <c r="O89" s="463"/>
      <c r="P89" s="463"/>
      <c r="Q89" s="463">
        <f>M89*4.353</f>
        <v>0</v>
      </c>
      <c r="R89" s="463"/>
      <c r="S89" s="463"/>
      <c r="T89" s="463"/>
      <c r="U89" s="463"/>
      <c r="V89" s="463"/>
      <c r="W89" s="472"/>
      <c r="X89" s="574">
        <f t="shared" si="33"/>
        <v>0</v>
      </c>
      <c r="Y89" s="422" t="b">
        <f t="shared" si="34"/>
        <v>1</v>
      </c>
      <c r="Z89" s="574">
        <f t="shared" si="35"/>
        <v>0</v>
      </c>
      <c r="AA89" s="710" t="e">
        <f t="shared" si="36"/>
        <v>#DIV/0!</v>
      </c>
    </row>
    <row r="90" spans="1:27" ht="12.75" hidden="1" customHeight="1" outlineLevel="1" x14ac:dyDescent="0.25">
      <c r="A90" s="475" t="s">
        <v>369</v>
      </c>
      <c r="B90" s="471" t="s">
        <v>370</v>
      </c>
      <c r="C90" s="445" t="s">
        <v>86</v>
      </c>
      <c r="D90" s="475" t="s">
        <v>42</v>
      </c>
      <c r="E90" s="475" t="s">
        <v>54</v>
      </c>
      <c r="F90" s="462">
        <f>$F$29</f>
        <v>53.44</v>
      </c>
      <c r="G90" s="462">
        <v>0.63</v>
      </c>
      <c r="H90" s="462"/>
      <c r="I90" s="462"/>
      <c r="J90" s="462"/>
      <c r="K90" s="462"/>
      <c r="L90" s="727"/>
      <c r="M90" s="463">
        <f>F90*G90</f>
        <v>33.67</v>
      </c>
      <c r="N90" s="463"/>
      <c r="O90" s="463"/>
      <c r="P90" s="463"/>
      <c r="Q90" s="463"/>
      <c r="R90" s="463"/>
      <c r="S90" s="463"/>
      <c r="T90" s="463"/>
      <c r="U90" s="463"/>
      <c r="V90" s="463"/>
      <c r="W90" s="472"/>
      <c r="X90" s="574">
        <f t="shared" si="33"/>
        <v>33.67</v>
      </c>
      <c r="Y90" s="422" t="b">
        <f t="shared" si="34"/>
        <v>0</v>
      </c>
      <c r="Z90" s="574">
        <f t="shared" si="35"/>
        <v>0</v>
      </c>
      <c r="AA90" s="710" t="e">
        <f t="shared" si="36"/>
        <v>#DIV/0!</v>
      </c>
    </row>
    <row r="91" spans="1:27" ht="12.75" hidden="1" customHeight="1" outlineLevel="1" x14ac:dyDescent="0.25">
      <c r="A91" s="475"/>
      <c r="B91" s="471" t="s">
        <v>371</v>
      </c>
      <c r="C91" s="445"/>
      <c r="D91" s="475"/>
      <c r="E91" s="475"/>
      <c r="F91" s="462"/>
      <c r="G91" s="462"/>
      <c r="H91" s="462"/>
      <c r="I91" s="462"/>
      <c r="J91" s="462"/>
      <c r="K91" s="462"/>
      <c r="L91" s="727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72"/>
      <c r="X91" s="574">
        <f t="shared" si="33"/>
        <v>0</v>
      </c>
      <c r="Y91" s="422" t="b">
        <f t="shared" si="34"/>
        <v>1</v>
      </c>
      <c r="Z91" s="574">
        <f t="shared" si="35"/>
        <v>0</v>
      </c>
      <c r="AA91" s="710" t="e">
        <f t="shared" si="36"/>
        <v>#DIV/0!</v>
      </c>
    </row>
    <row r="92" spans="1:27" ht="12.75" hidden="1" customHeight="1" outlineLevel="1" x14ac:dyDescent="0.25">
      <c r="A92" s="475"/>
      <c r="B92" s="460" t="s">
        <v>364</v>
      </c>
      <c r="C92" s="445"/>
      <c r="D92" s="475"/>
      <c r="E92" s="475"/>
      <c r="F92" s="462"/>
      <c r="G92" s="462"/>
      <c r="H92" s="462"/>
      <c r="I92" s="462"/>
      <c r="J92" s="462"/>
      <c r="K92" s="462"/>
      <c r="L92" s="727"/>
      <c r="M92" s="463"/>
      <c r="N92" s="463"/>
      <c r="O92" s="463"/>
      <c r="P92" s="463"/>
      <c r="Q92" s="463">
        <f>M92*4.353</f>
        <v>0</v>
      </c>
      <c r="R92" s="463"/>
      <c r="S92" s="463"/>
      <c r="T92" s="463"/>
      <c r="U92" s="446"/>
      <c r="V92" s="446"/>
      <c r="W92" s="484"/>
      <c r="X92" s="574">
        <f t="shared" si="33"/>
        <v>0</v>
      </c>
      <c r="Y92" s="422" t="b">
        <f t="shared" si="34"/>
        <v>1</v>
      </c>
      <c r="Z92" s="574">
        <f t="shared" si="35"/>
        <v>0</v>
      </c>
      <c r="AA92" s="710" t="e">
        <f t="shared" si="36"/>
        <v>#DIV/0!</v>
      </c>
    </row>
    <row r="93" spans="1:27" ht="20.25" hidden="1" customHeight="1" outlineLevel="1" x14ac:dyDescent="0.25">
      <c r="A93" s="475" t="s">
        <v>372</v>
      </c>
      <c r="B93" s="471" t="s">
        <v>373</v>
      </c>
      <c r="C93" s="445" t="s">
        <v>40</v>
      </c>
      <c r="D93" s="475" t="s">
        <v>42</v>
      </c>
      <c r="E93" s="475" t="s">
        <v>54</v>
      </c>
      <c r="F93" s="462">
        <f>$F$29</f>
        <v>53.44</v>
      </c>
      <c r="G93" s="461">
        <v>0.2</v>
      </c>
      <c r="H93" s="461"/>
      <c r="I93" s="461"/>
      <c r="J93" s="461"/>
      <c r="K93" s="461"/>
      <c r="L93" s="725"/>
      <c r="M93" s="463">
        <f>F93*G93</f>
        <v>10.69</v>
      </c>
      <c r="N93" s="446"/>
      <c r="O93" s="446"/>
      <c r="P93" s="446"/>
      <c r="Q93" s="446"/>
      <c r="R93" s="446"/>
      <c r="S93" s="446"/>
      <c r="T93" s="446"/>
      <c r="U93" s="446"/>
      <c r="V93" s="446"/>
      <c r="W93" s="484"/>
      <c r="X93" s="574">
        <f t="shared" si="33"/>
        <v>10.69</v>
      </c>
      <c r="Y93" s="422" t="b">
        <f t="shared" si="34"/>
        <v>0</v>
      </c>
      <c r="Z93" s="574">
        <f t="shared" si="35"/>
        <v>0</v>
      </c>
      <c r="AA93" s="710" t="e">
        <f t="shared" si="36"/>
        <v>#DIV/0!</v>
      </c>
    </row>
    <row r="94" spans="1:27" ht="12.75" hidden="1" customHeight="1" outlineLevel="1" x14ac:dyDescent="0.25">
      <c r="A94" s="475"/>
      <c r="B94" s="471" t="s">
        <v>374</v>
      </c>
      <c r="C94" s="445" t="s">
        <v>375</v>
      </c>
      <c r="D94" s="475"/>
      <c r="E94" s="475"/>
      <c r="F94" s="462"/>
      <c r="G94" s="461"/>
      <c r="H94" s="461"/>
      <c r="I94" s="461"/>
      <c r="J94" s="461"/>
      <c r="K94" s="461"/>
      <c r="L94" s="725"/>
      <c r="M94" s="446"/>
      <c r="N94" s="446"/>
      <c r="O94" s="446"/>
      <c r="P94" s="446"/>
      <c r="Q94" s="446"/>
      <c r="R94" s="446"/>
      <c r="S94" s="446"/>
      <c r="T94" s="446"/>
      <c r="U94" s="446"/>
      <c r="V94" s="446"/>
      <c r="W94" s="484"/>
      <c r="X94" s="574">
        <f t="shared" si="33"/>
        <v>0</v>
      </c>
      <c r="Y94" s="422" t="b">
        <f t="shared" si="34"/>
        <v>1</v>
      </c>
      <c r="Z94" s="574">
        <f t="shared" si="35"/>
        <v>0</v>
      </c>
      <c r="AA94" s="710" t="e">
        <f t="shared" si="36"/>
        <v>#DIV/0!</v>
      </c>
    </row>
    <row r="95" spans="1:27" ht="12.75" hidden="1" customHeight="1" outlineLevel="1" x14ac:dyDescent="0.25">
      <c r="A95" s="475"/>
      <c r="B95" s="460" t="s">
        <v>376</v>
      </c>
      <c r="C95" s="445"/>
      <c r="D95" s="475"/>
      <c r="E95" s="475"/>
      <c r="F95" s="462"/>
      <c r="G95" s="461"/>
      <c r="H95" s="461"/>
      <c r="I95" s="461"/>
      <c r="J95" s="461"/>
      <c r="K95" s="461"/>
      <c r="L95" s="725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84"/>
      <c r="X95" s="574">
        <f t="shared" si="33"/>
        <v>0</v>
      </c>
      <c r="Y95" s="422" t="b">
        <f t="shared" si="34"/>
        <v>1</v>
      </c>
      <c r="Z95" s="574">
        <f t="shared" si="35"/>
        <v>0</v>
      </c>
      <c r="AA95" s="710" t="e">
        <f t="shared" si="36"/>
        <v>#DIV/0!</v>
      </c>
    </row>
    <row r="96" spans="1:27" ht="6" customHeight="1" collapsed="1" x14ac:dyDescent="0.25">
      <c r="A96" s="475"/>
      <c r="C96" s="445"/>
      <c r="D96" s="475"/>
      <c r="E96" s="475"/>
      <c r="F96" s="462"/>
      <c r="G96" s="461"/>
      <c r="H96" s="461"/>
      <c r="I96" s="461"/>
      <c r="J96" s="461"/>
      <c r="K96" s="461"/>
      <c r="L96" s="725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84"/>
      <c r="X96" s="574"/>
      <c r="Z96" s="574"/>
      <c r="AA96" s="710"/>
    </row>
    <row r="97" spans="1:27" ht="12.75" customHeight="1" x14ac:dyDescent="0.25">
      <c r="A97" s="475" t="s">
        <v>76</v>
      </c>
      <c r="B97" s="998" t="s">
        <v>1442</v>
      </c>
      <c r="C97" s="445"/>
      <c r="D97" s="475"/>
      <c r="E97" s="475"/>
      <c r="F97" s="462"/>
      <c r="G97" s="476"/>
      <c r="H97" s="461"/>
      <c r="I97" s="461"/>
      <c r="J97" s="461"/>
      <c r="K97" s="461"/>
      <c r="L97" s="725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84"/>
      <c r="X97" s="574"/>
      <c r="Z97" s="574"/>
      <c r="AA97" s="710"/>
    </row>
    <row r="98" spans="1:27" ht="12.75" customHeight="1" x14ac:dyDescent="0.25">
      <c r="A98" s="475"/>
      <c r="B98" s="998"/>
      <c r="C98" s="445" t="s">
        <v>913</v>
      </c>
      <c r="D98" s="475"/>
      <c r="E98" s="475" t="s">
        <v>42</v>
      </c>
      <c r="F98" s="705">
        <f>$F$16</f>
        <v>41.43</v>
      </c>
      <c r="G98" s="516">
        <v>0.96</v>
      </c>
      <c r="H98" s="705">
        <f>G98/1.44</f>
        <v>0.67</v>
      </c>
      <c r="I98" s="705">
        <v>0.25</v>
      </c>
      <c r="J98" s="706">
        <f>I98/K98</f>
        <v>2.1000000000000001E-2</v>
      </c>
      <c r="K98" s="707">
        <f>8/H98</f>
        <v>12</v>
      </c>
      <c r="L98" s="708">
        <f>H98+J98</f>
        <v>0.69</v>
      </c>
      <c r="M98" s="709">
        <f>F98*L98</f>
        <v>28.59</v>
      </c>
      <c r="N98" s="709">
        <f>M98*10%</f>
        <v>2.86</v>
      </c>
      <c r="O98" s="709">
        <f>M98*26.3%</f>
        <v>7.52</v>
      </c>
      <c r="P98" s="709">
        <f>M98*196.2%</f>
        <v>56.09</v>
      </c>
      <c r="Q98" s="709">
        <f>M98+N98+O98+P98</f>
        <v>95.06</v>
      </c>
      <c r="R98" s="709">
        <f>T98/1.18-Q98</f>
        <v>9.18</v>
      </c>
      <c r="S98" s="709">
        <f>(Q98+R98)*18%</f>
        <v>18.760000000000002</v>
      </c>
      <c r="T98" s="709">
        <f>ROUND(Q98*1.298,0)</f>
        <v>123</v>
      </c>
      <c r="U98" s="709">
        <f>T98/12</f>
        <v>10.25</v>
      </c>
      <c r="V98" s="709"/>
      <c r="W98" s="472"/>
      <c r="X98" s="574">
        <f>M98+N98+O98+P98</f>
        <v>95.06</v>
      </c>
      <c r="Y98" s="422" t="b">
        <f>Q98=X98</f>
        <v>1</v>
      </c>
      <c r="Z98" s="574">
        <f>Q98+R98+S98</f>
        <v>123</v>
      </c>
      <c r="AA98" s="710">
        <f>R98/Q98</f>
        <v>0.1</v>
      </c>
    </row>
    <row r="99" spans="1:27" ht="12.75" customHeight="1" x14ac:dyDescent="0.25">
      <c r="A99" s="475"/>
      <c r="B99" s="429" t="s">
        <v>1015</v>
      </c>
      <c r="C99" s="445" t="s">
        <v>45</v>
      </c>
      <c r="D99" s="475"/>
      <c r="E99" s="475" t="s">
        <v>42</v>
      </c>
      <c r="F99" s="705">
        <f>$F$16</f>
        <v>41.43</v>
      </c>
      <c r="G99" s="516">
        <v>1.2</v>
      </c>
      <c r="H99" s="705">
        <f>G99/1.44</f>
        <v>0.83</v>
      </c>
      <c r="I99" s="705">
        <v>0.25</v>
      </c>
      <c r="J99" s="706">
        <f>I99/K99</f>
        <v>2.5000000000000001E-2</v>
      </c>
      <c r="K99" s="707">
        <f>8/H99</f>
        <v>10</v>
      </c>
      <c r="L99" s="708">
        <f>H99+J99</f>
        <v>0.86</v>
      </c>
      <c r="M99" s="709">
        <f>F99*L99</f>
        <v>35.630000000000003</v>
      </c>
      <c r="N99" s="709">
        <f>M99*10%</f>
        <v>3.56</v>
      </c>
      <c r="O99" s="709">
        <f>M99*26.3%</f>
        <v>9.3699999999999992</v>
      </c>
      <c r="P99" s="709">
        <f>M99*196.2%</f>
        <v>69.91</v>
      </c>
      <c r="Q99" s="709">
        <f>M99+N99+O99+P99</f>
        <v>118.47</v>
      </c>
      <c r="R99" s="709">
        <f>T99/1.18-Q99</f>
        <v>12.04</v>
      </c>
      <c r="S99" s="709">
        <f>(Q99+R99)*18%</f>
        <v>23.49</v>
      </c>
      <c r="T99" s="709">
        <f>ROUND(Q99*1.298,0)</f>
        <v>154</v>
      </c>
      <c r="U99" s="709">
        <f>T99/12</f>
        <v>12.83</v>
      </c>
      <c r="V99" s="709"/>
      <c r="W99" s="472"/>
      <c r="X99" s="574">
        <f>M99+N99+O99+P99</f>
        <v>118.47</v>
      </c>
      <c r="Y99" s="422" t="b">
        <f>Q99=X99</f>
        <v>1</v>
      </c>
      <c r="Z99" s="574">
        <f>Q99+R99+S99</f>
        <v>154</v>
      </c>
      <c r="AA99" s="710">
        <f>R99/Q99</f>
        <v>0.1</v>
      </c>
    </row>
    <row r="100" spans="1:27" ht="2.25" customHeight="1" x14ac:dyDescent="0.25">
      <c r="A100" s="475"/>
      <c r="B100" s="460"/>
      <c r="C100" s="445"/>
      <c r="D100" s="475"/>
      <c r="E100" s="475"/>
      <c r="F100" s="461"/>
      <c r="G100" s="461"/>
      <c r="H100" s="461"/>
      <c r="I100" s="461"/>
      <c r="J100" s="461"/>
      <c r="K100" s="461"/>
      <c r="L100" s="725"/>
      <c r="M100" s="446"/>
      <c r="N100" s="446"/>
      <c r="O100" s="446"/>
      <c r="P100" s="446"/>
      <c r="Q100" s="446"/>
      <c r="R100" s="446"/>
      <c r="S100" s="446"/>
      <c r="T100" s="446"/>
      <c r="U100" s="446"/>
      <c r="V100" s="709">
        <f>T100/36</f>
        <v>0</v>
      </c>
      <c r="W100" s="484"/>
      <c r="X100" s="574"/>
      <c r="Z100" s="574"/>
      <c r="AA100" s="710"/>
    </row>
    <row r="101" spans="1:27" s="502" customFormat="1" ht="15" customHeight="1" x14ac:dyDescent="0.25">
      <c r="A101" s="731" t="s">
        <v>94</v>
      </c>
      <c r="B101" s="732" t="s">
        <v>1443</v>
      </c>
      <c r="C101" s="465"/>
      <c r="D101" s="731"/>
      <c r="E101" s="731"/>
      <c r="F101" s="733"/>
      <c r="G101" s="733"/>
      <c r="H101" s="733"/>
      <c r="I101" s="733"/>
      <c r="J101" s="733"/>
      <c r="K101" s="733"/>
      <c r="L101" s="733"/>
      <c r="M101" s="734"/>
      <c r="N101" s="734"/>
      <c r="O101" s="734"/>
      <c r="P101" s="734"/>
      <c r="Q101" s="734"/>
      <c r="R101" s="734"/>
      <c r="S101" s="734"/>
      <c r="T101" s="735">
        <f>'[13]Прейскурант 06 апреля06г.тр пол'!T101</f>
        <v>114</v>
      </c>
      <c r="U101" s="735">
        <f>T101/12</f>
        <v>9.5</v>
      </c>
      <c r="V101" s="709"/>
      <c r="W101" s="736"/>
      <c r="X101" s="737"/>
      <c r="Z101" s="737"/>
      <c r="AA101" s="738"/>
    </row>
    <row r="102" spans="1:27" s="502" customFormat="1" ht="15" customHeight="1" x14ac:dyDescent="0.25">
      <c r="A102" s="739" t="s">
        <v>95</v>
      </c>
      <c r="B102" s="740" t="s">
        <v>1444</v>
      </c>
      <c r="C102" s="741"/>
      <c r="D102" s="739"/>
      <c r="E102" s="739"/>
      <c r="F102" s="742"/>
      <c r="G102" s="742"/>
      <c r="H102" s="742"/>
      <c r="I102" s="742"/>
      <c r="J102" s="742"/>
      <c r="K102" s="742"/>
      <c r="L102" s="742"/>
      <c r="M102" s="743"/>
      <c r="N102" s="743"/>
      <c r="O102" s="743"/>
      <c r="P102" s="743"/>
      <c r="Q102" s="743"/>
      <c r="R102" s="743"/>
      <c r="S102" s="743"/>
      <c r="T102" s="744">
        <f>'[13]Прейскурант 06 апреля06г.тр пол'!T102</f>
        <v>26</v>
      </c>
      <c r="U102" s="744">
        <f>T102/12</f>
        <v>2.17</v>
      </c>
      <c r="V102" s="745"/>
      <c r="W102" s="736"/>
      <c r="X102" s="737"/>
      <c r="Z102" s="737"/>
      <c r="AA102" s="738"/>
    </row>
    <row r="103" spans="1:27" s="688" customFormat="1" ht="12.75" customHeight="1" x14ac:dyDescent="0.25">
      <c r="A103" s="746"/>
      <c r="B103" s="747"/>
      <c r="C103" s="748"/>
      <c r="D103" s="746"/>
      <c r="E103" s="746"/>
      <c r="F103" s="749"/>
      <c r="G103" s="749"/>
      <c r="H103" s="749"/>
      <c r="I103" s="749"/>
      <c r="J103" s="749"/>
      <c r="K103" s="749"/>
      <c r="L103" s="749"/>
      <c r="M103" s="750"/>
      <c r="N103" s="751"/>
      <c r="O103" s="751"/>
      <c r="P103" s="751"/>
      <c r="Q103" s="751"/>
      <c r="R103" s="751"/>
      <c r="S103" s="751"/>
      <c r="T103" s="752"/>
      <c r="U103" s="752"/>
      <c r="V103" s="752"/>
      <c r="W103" s="751"/>
      <c r="X103" s="701"/>
      <c r="Z103" s="701"/>
      <c r="AA103" s="702"/>
    </row>
    <row r="104" spans="1:27" x14ac:dyDescent="0.25">
      <c r="A104" s="483"/>
      <c r="B104" s="430" t="s">
        <v>1445</v>
      </c>
      <c r="C104" s="482"/>
      <c r="D104" s="483"/>
      <c r="E104" s="483"/>
      <c r="F104" s="723"/>
      <c r="G104" s="723"/>
      <c r="H104" s="723"/>
      <c r="I104" s="723"/>
      <c r="J104" s="723"/>
      <c r="K104" s="723"/>
      <c r="L104" s="749"/>
      <c r="M104" s="484"/>
      <c r="N104" s="484"/>
      <c r="O104" s="484"/>
      <c r="P104" s="484"/>
      <c r="Q104" s="484"/>
      <c r="R104" s="484"/>
      <c r="S104" s="484"/>
      <c r="T104" s="484"/>
      <c r="U104" s="484"/>
      <c r="V104" s="484"/>
      <c r="W104" s="484"/>
      <c r="X104" s="574">
        <f t="shared" ref="X104:X111" si="38">M104+N104+O104+P104</f>
        <v>0</v>
      </c>
      <c r="Y104" s="422" t="b">
        <f t="shared" ref="Y104:Y111" si="39">Q104=X104</f>
        <v>1</v>
      </c>
      <c r="Z104" s="574">
        <f t="shared" ref="Z104:Z111" si="40">Q104+R104+S104</f>
        <v>0</v>
      </c>
      <c r="AA104" s="710" t="e">
        <f t="shared" ref="AA104:AA111" si="41">R104/Q104</f>
        <v>#DIV/0!</v>
      </c>
    </row>
    <row r="105" spans="1:27" x14ac:dyDescent="0.25">
      <c r="A105" s="483"/>
      <c r="B105" s="430"/>
      <c r="C105" s="482"/>
      <c r="D105" s="483"/>
      <c r="E105" s="483"/>
      <c r="F105" s="723"/>
      <c r="G105" s="723"/>
      <c r="H105" s="723"/>
      <c r="I105" s="723"/>
      <c r="J105" s="723"/>
      <c r="K105" s="723"/>
      <c r="L105" s="749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  <c r="X105" s="574"/>
      <c r="Z105" s="574"/>
      <c r="AA105" s="710"/>
    </row>
    <row r="106" spans="1:27" x14ac:dyDescent="0.25">
      <c r="A106" s="483"/>
      <c r="B106" s="473"/>
      <c r="C106" s="482"/>
      <c r="D106" s="483"/>
      <c r="E106" s="483"/>
      <c r="F106" s="723"/>
      <c r="G106" s="723"/>
      <c r="H106" s="723"/>
      <c r="I106" s="723"/>
      <c r="J106" s="723"/>
      <c r="K106" s="723"/>
      <c r="L106" s="749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574"/>
      <c r="Z106" s="574"/>
      <c r="AA106" s="710"/>
    </row>
    <row r="107" spans="1:27" x14ac:dyDescent="0.25">
      <c r="A107" s="483"/>
      <c r="C107" s="482"/>
      <c r="D107" s="483"/>
      <c r="E107" s="483"/>
      <c r="F107" s="485"/>
      <c r="G107" s="486"/>
      <c r="H107" s="486"/>
      <c r="I107" s="486"/>
      <c r="J107" s="486"/>
      <c r="K107" s="486"/>
      <c r="L107" s="750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  <c r="X107" s="574">
        <f t="shared" si="38"/>
        <v>0</v>
      </c>
      <c r="Y107" s="422" t="b">
        <f t="shared" si="39"/>
        <v>1</v>
      </c>
      <c r="Z107" s="574">
        <f t="shared" si="40"/>
        <v>0</v>
      </c>
      <c r="AA107" s="710" t="e">
        <f t="shared" si="41"/>
        <v>#DIV/0!</v>
      </c>
    </row>
    <row r="108" spans="1:27" x14ac:dyDescent="0.25">
      <c r="A108" s="483"/>
      <c r="B108" s="430" t="s">
        <v>79</v>
      </c>
      <c r="C108" s="482"/>
      <c r="D108" s="483"/>
      <c r="E108" s="483"/>
      <c r="F108" s="485"/>
      <c r="G108" s="486"/>
      <c r="H108" s="486"/>
      <c r="I108" s="486"/>
      <c r="J108" s="486"/>
      <c r="K108" s="486"/>
      <c r="L108" s="750"/>
      <c r="M108" s="484"/>
      <c r="N108" s="430"/>
      <c r="O108" s="430"/>
      <c r="P108" s="430"/>
      <c r="Q108" s="430"/>
      <c r="R108" s="430"/>
      <c r="S108" s="430"/>
      <c r="T108" s="484"/>
      <c r="U108" s="430"/>
      <c r="V108" s="430"/>
      <c r="W108" s="430"/>
      <c r="X108" s="574">
        <f t="shared" si="38"/>
        <v>0</v>
      </c>
      <c r="Y108" s="422" t="b">
        <f t="shared" si="39"/>
        <v>1</v>
      </c>
      <c r="Z108" s="574">
        <f t="shared" si="40"/>
        <v>0</v>
      </c>
      <c r="AA108" s="710" t="e">
        <f t="shared" si="41"/>
        <v>#DIV/0!</v>
      </c>
    </row>
    <row r="109" spans="1:27" s="430" customFormat="1" ht="12.75" customHeight="1" x14ac:dyDescent="0.25">
      <c r="A109" s="482"/>
      <c r="B109" s="473"/>
      <c r="F109" s="431"/>
      <c r="G109" s="431"/>
      <c r="H109" s="431"/>
      <c r="I109" s="431"/>
      <c r="J109" s="431"/>
      <c r="K109" s="431"/>
      <c r="L109" s="689"/>
      <c r="V109" s="753">
        <f>V102+V101+V18</f>
        <v>3.47</v>
      </c>
      <c r="X109" s="574">
        <f t="shared" si="38"/>
        <v>0</v>
      </c>
      <c r="Y109" s="422" t="b">
        <f t="shared" si="39"/>
        <v>1</v>
      </c>
      <c r="Z109" s="574">
        <f t="shared" si="40"/>
        <v>0</v>
      </c>
      <c r="AA109" s="710" t="e">
        <f t="shared" si="41"/>
        <v>#DIV/0!</v>
      </c>
    </row>
    <row r="110" spans="1:27" s="430" customFormat="1" x14ac:dyDescent="0.25">
      <c r="A110" s="482"/>
      <c r="B110" s="473"/>
      <c r="F110" s="431"/>
      <c r="G110" s="431"/>
      <c r="H110" s="431"/>
      <c r="I110" s="431"/>
      <c r="J110" s="431"/>
      <c r="K110" s="431"/>
      <c r="L110" s="689"/>
      <c r="N110" s="424"/>
      <c r="O110" s="424"/>
      <c r="P110" s="424"/>
      <c r="Q110" s="424"/>
      <c r="R110" s="424"/>
      <c r="S110" s="424"/>
      <c r="U110" s="424"/>
      <c r="V110" s="424"/>
      <c r="W110" s="424"/>
      <c r="X110" s="574">
        <f t="shared" si="38"/>
        <v>0</v>
      </c>
      <c r="Y110" s="422" t="b">
        <f t="shared" si="39"/>
        <v>1</v>
      </c>
      <c r="Z110" s="574">
        <f t="shared" si="40"/>
        <v>0</v>
      </c>
      <c r="AA110" s="710" t="e">
        <f t="shared" si="41"/>
        <v>#DIV/0!</v>
      </c>
    </row>
    <row r="111" spans="1:27" ht="16.5" hidden="1" customHeight="1" outlineLevel="1" x14ac:dyDescent="0.25">
      <c r="A111" s="529" t="s">
        <v>377</v>
      </c>
      <c r="B111" s="424"/>
      <c r="C111" s="424"/>
      <c r="D111" s="424"/>
      <c r="E111" s="424"/>
      <c r="F111" s="426"/>
      <c r="G111" s="426"/>
      <c r="H111" s="426"/>
      <c r="I111" s="426"/>
      <c r="J111" s="426"/>
      <c r="K111" s="426"/>
      <c r="L111" s="680"/>
      <c r="M111" s="424"/>
      <c r="T111" s="424"/>
      <c r="X111" s="574">
        <f t="shared" si="38"/>
        <v>0</v>
      </c>
      <c r="Y111" s="422" t="b">
        <f t="shared" si="39"/>
        <v>1</v>
      </c>
      <c r="Z111" s="574">
        <f t="shared" si="40"/>
        <v>0</v>
      </c>
      <c r="AA111" s="710" t="e">
        <f t="shared" si="41"/>
        <v>#DIV/0!</v>
      </c>
    </row>
    <row r="112" spans="1:27" ht="12.75" hidden="1" customHeight="1" outlineLevel="1" x14ac:dyDescent="0.25">
      <c r="B112" s="491"/>
      <c r="F112" s="423"/>
      <c r="G112" s="423"/>
      <c r="H112" s="423"/>
      <c r="I112" s="423"/>
      <c r="J112" s="423"/>
      <c r="K112" s="423"/>
      <c r="L112" s="678"/>
      <c r="N112" s="999" t="s">
        <v>14</v>
      </c>
      <c r="O112" s="999" t="s">
        <v>15</v>
      </c>
      <c r="P112" s="999" t="s">
        <v>16</v>
      </c>
      <c r="Q112" s="999" t="s">
        <v>17</v>
      </c>
      <c r="R112" s="999" t="s">
        <v>18</v>
      </c>
      <c r="S112" s="999" t="s">
        <v>19</v>
      </c>
      <c r="U112" s="754"/>
      <c r="V112" s="754"/>
      <c r="W112" s="754"/>
      <c r="X112" s="574"/>
      <c r="Z112" s="574"/>
      <c r="AA112" s="710"/>
    </row>
    <row r="113" spans="1:27" ht="12.75" hidden="1" customHeight="1" outlineLevel="1" x14ac:dyDescent="0.25">
      <c r="A113" s="755" t="s">
        <v>273</v>
      </c>
      <c r="B113" s="433"/>
      <c r="C113" s="434" t="s">
        <v>274</v>
      </c>
      <c r="D113" s="690" t="s">
        <v>275</v>
      </c>
      <c r="E113" s="690" t="s">
        <v>275</v>
      </c>
      <c r="F113" s="436" t="s">
        <v>276</v>
      </c>
      <c r="G113" s="437" t="s">
        <v>277</v>
      </c>
      <c r="H113" s="527"/>
      <c r="I113" s="527"/>
      <c r="J113" s="527"/>
      <c r="K113" s="527"/>
      <c r="L113" s="756"/>
      <c r="M113" s="436" t="s">
        <v>278</v>
      </c>
      <c r="N113" s="1000"/>
      <c r="O113" s="1000"/>
      <c r="P113" s="1000"/>
      <c r="Q113" s="1000"/>
      <c r="R113" s="1000"/>
      <c r="S113" s="1000"/>
      <c r="T113" s="994" t="s">
        <v>83</v>
      </c>
      <c r="U113" s="754"/>
      <c r="V113" s="754"/>
      <c r="W113" s="754"/>
      <c r="X113" s="574"/>
      <c r="Z113" s="574"/>
      <c r="AA113" s="710"/>
    </row>
    <row r="114" spans="1:27" ht="12.75" hidden="1" customHeight="1" outlineLevel="1" x14ac:dyDescent="0.25">
      <c r="A114" s="479" t="s">
        <v>280</v>
      </c>
      <c r="B114" s="428"/>
      <c r="C114" s="442" t="s">
        <v>23</v>
      </c>
      <c r="D114" s="475" t="s">
        <v>281</v>
      </c>
      <c r="E114" s="475" t="s">
        <v>281</v>
      </c>
      <c r="F114" s="444" t="s">
        <v>25</v>
      </c>
      <c r="G114" s="445" t="s">
        <v>26</v>
      </c>
      <c r="H114" s="482"/>
      <c r="I114" s="482"/>
      <c r="J114" s="482"/>
      <c r="K114" s="482"/>
      <c r="L114" s="748"/>
      <c r="M114" s="444" t="s">
        <v>27</v>
      </c>
      <c r="N114" s="1000"/>
      <c r="O114" s="1000"/>
      <c r="P114" s="1000"/>
      <c r="Q114" s="1000"/>
      <c r="R114" s="1000"/>
      <c r="S114" s="1000"/>
      <c r="T114" s="995"/>
      <c r="U114" s="754"/>
      <c r="V114" s="754"/>
      <c r="W114" s="754"/>
      <c r="X114" s="574"/>
      <c r="Z114" s="574"/>
      <c r="AA114" s="710"/>
    </row>
    <row r="115" spans="1:27" ht="12.75" hidden="1" customHeight="1" outlineLevel="1" x14ac:dyDescent="0.25">
      <c r="A115" s="479"/>
      <c r="B115" s="428"/>
      <c r="C115" s="442"/>
      <c r="D115" s="475" t="s">
        <v>31</v>
      </c>
      <c r="E115" s="475" t="s">
        <v>31</v>
      </c>
      <c r="F115" s="444" t="s">
        <v>32</v>
      </c>
      <c r="G115" s="445" t="s">
        <v>33</v>
      </c>
      <c r="H115" s="482"/>
      <c r="I115" s="482"/>
      <c r="J115" s="482"/>
      <c r="K115" s="482"/>
      <c r="L115" s="748"/>
      <c r="M115" s="444" t="s">
        <v>34</v>
      </c>
      <c r="N115" s="1001"/>
      <c r="O115" s="1001"/>
      <c r="P115" s="1001"/>
      <c r="Q115" s="1001"/>
      <c r="R115" s="1001"/>
      <c r="S115" s="1001"/>
      <c r="T115" s="995"/>
      <c r="U115" s="754"/>
      <c r="V115" s="754"/>
      <c r="W115" s="754"/>
      <c r="X115" s="574"/>
      <c r="Z115" s="574"/>
      <c r="AA115" s="710"/>
    </row>
    <row r="116" spans="1:27" ht="12.75" hidden="1" customHeight="1" outlineLevel="1" x14ac:dyDescent="0.25">
      <c r="A116" s="757"/>
      <c r="B116" s="450"/>
      <c r="C116" s="451"/>
      <c r="D116" s="692"/>
      <c r="E116" s="758" t="s">
        <v>35</v>
      </c>
      <c r="F116" s="453"/>
      <c r="G116" s="454" t="s">
        <v>36</v>
      </c>
      <c r="H116" s="504"/>
      <c r="I116" s="504"/>
      <c r="J116" s="504"/>
      <c r="K116" s="504"/>
      <c r="L116" s="759"/>
      <c r="M116" s="455" t="s">
        <v>32</v>
      </c>
      <c r="N116" s="463" t="e">
        <f t="shared" ref="N116:N179" si="42">M116*10%</f>
        <v>#VALUE!</v>
      </c>
      <c r="O116" s="463" t="e">
        <f t="shared" ref="O116:O179" si="43">M116*26.3%</f>
        <v>#VALUE!</v>
      </c>
      <c r="P116" s="463" t="e">
        <f t="shared" ref="P116:P179" si="44">M116*299%</f>
        <v>#VALUE!</v>
      </c>
      <c r="Q116" s="463" t="e">
        <f t="shared" ref="Q116:Q179" si="45">M116+N116+O116+P116</f>
        <v>#VALUE!</v>
      </c>
      <c r="R116" s="463" t="e">
        <f t="shared" ref="R116:R179" si="46">T116/1.18-P116</f>
        <v>#VALUE!</v>
      </c>
      <c r="S116" s="463" t="e">
        <f t="shared" ref="S116:S179" si="47">(P116+R116)*18%</f>
        <v>#VALUE!</v>
      </c>
      <c r="T116" s="996"/>
      <c r="U116" s="472"/>
      <c r="V116" s="472"/>
      <c r="W116" s="472"/>
      <c r="X116" s="574" t="e">
        <f t="shared" ref="X116:X179" si="48">M116+N116+O116+P116</f>
        <v>#VALUE!</v>
      </c>
      <c r="Y116" s="422" t="e">
        <f>Q116=X116</f>
        <v>#VALUE!</v>
      </c>
      <c r="Z116" s="574" t="e">
        <f>Q116+R116+S116</f>
        <v>#VALUE!</v>
      </c>
      <c r="AA116" s="710" t="e">
        <f>R116/Q116</f>
        <v>#VALUE!</v>
      </c>
    </row>
    <row r="117" spans="1:27" ht="22.5" hidden="1" customHeight="1" outlineLevel="1" x14ac:dyDescent="0.25">
      <c r="A117" s="479"/>
      <c r="B117" s="492" t="s">
        <v>379</v>
      </c>
      <c r="C117" s="437" t="s">
        <v>380</v>
      </c>
      <c r="D117" s="760" t="s">
        <v>381</v>
      </c>
      <c r="E117" s="760"/>
      <c r="F117" s="761">
        <f>(F93+F88)/2</f>
        <v>47.44</v>
      </c>
      <c r="G117" s="761">
        <v>0.4</v>
      </c>
      <c r="H117" s="761"/>
      <c r="I117" s="761"/>
      <c r="J117" s="761"/>
      <c r="K117" s="761"/>
      <c r="L117" s="762"/>
      <c r="M117" s="763">
        <f>F117*G117</f>
        <v>18.98</v>
      </c>
      <c r="N117" s="463">
        <f t="shared" si="42"/>
        <v>1.9</v>
      </c>
      <c r="O117" s="463">
        <f t="shared" si="43"/>
        <v>4.99</v>
      </c>
      <c r="P117" s="463">
        <f t="shared" si="44"/>
        <v>56.75</v>
      </c>
      <c r="Q117" s="463">
        <f t="shared" si="45"/>
        <v>82.62</v>
      </c>
      <c r="R117" s="463">
        <f t="shared" si="46"/>
        <v>34.1</v>
      </c>
      <c r="S117" s="463">
        <f t="shared" si="47"/>
        <v>16.350000000000001</v>
      </c>
      <c r="T117" s="764">
        <f>ROUND(Q117*1.298,1)</f>
        <v>107.2</v>
      </c>
      <c r="U117" s="472"/>
      <c r="V117" s="472"/>
      <c r="W117" s="472"/>
      <c r="X117" s="574">
        <f t="shared" si="48"/>
        <v>82.62</v>
      </c>
      <c r="Z117" s="574"/>
      <c r="AA117" s="710"/>
    </row>
    <row r="118" spans="1:27" s="772" customFormat="1" ht="21" hidden="1" customHeight="1" outlineLevel="1" x14ac:dyDescent="0.3">
      <c r="A118" s="765" t="s">
        <v>382</v>
      </c>
      <c r="B118" s="766"/>
      <c r="C118" s="767"/>
      <c r="D118" s="768"/>
      <c r="E118" s="768"/>
      <c r="F118" s="769"/>
      <c r="G118" s="769"/>
      <c r="H118" s="769"/>
      <c r="I118" s="769"/>
      <c r="J118" s="769"/>
      <c r="K118" s="769"/>
      <c r="L118" s="770"/>
      <c r="M118" s="769"/>
      <c r="N118" s="463">
        <f t="shared" si="42"/>
        <v>0</v>
      </c>
      <c r="O118" s="463">
        <f t="shared" si="43"/>
        <v>0</v>
      </c>
      <c r="P118" s="463">
        <f t="shared" si="44"/>
        <v>0</v>
      </c>
      <c r="Q118" s="463">
        <f t="shared" si="45"/>
        <v>0</v>
      </c>
      <c r="R118" s="463">
        <f t="shared" si="46"/>
        <v>0</v>
      </c>
      <c r="S118" s="463">
        <f t="shared" si="47"/>
        <v>0</v>
      </c>
      <c r="T118" s="771"/>
      <c r="U118" s="472"/>
      <c r="V118" s="472"/>
      <c r="W118" s="472"/>
      <c r="X118" s="574">
        <f t="shared" si="48"/>
        <v>0</v>
      </c>
      <c r="Y118" s="422"/>
      <c r="Z118" s="574"/>
      <c r="AA118" s="710"/>
    </row>
    <row r="119" spans="1:27" ht="21" hidden="1" customHeight="1" outlineLevel="1" x14ac:dyDescent="0.25">
      <c r="A119" s="479" t="s">
        <v>383</v>
      </c>
      <c r="B119" s="422" t="s">
        <v>384</v>
      </c>
      <c r="C119" s="445"/>
      <c r="D119" s="475"/>
      <c r="E119" s="475"/>
      <c r="F119" s="461"/>
      <c r="G119" s="461"/>
      <c r="H119" s="461"/>
      <c r="I119" s="461"/>
      <c r="J119" s="461"/>
      <c r="K119" s="461"/>
      <c r="L119" s="725"/>
      <c r="M119" s="463"/>
      <c r="N119" s="463">
        <f t="shared" si="42"/>
        <v>0</v>
      </c>
      <c r="O119" s="463">
        <f t="shared" si="43"/>
        <v>0</v>
      </c>
      <c r="P119" s="463">
        <f t="shared" si="44"/>
        <v>0</v>
      </c>
      <c r="Q119" s="463">
        <f t="shared" si="45"/>
        <v>0</v>
      </c>
      <c r="R119" s="463">
        <f t="shared" si="46"/>
        <v>0</v>
      </c>
      <c r="S119" s="463">
        <f t="shared" si="47"/>
        <v>0</v>
      </c>
      <c r="T119" s="773"/>
      <c r="U119" s="472"/>
      <c r="V119" s="472"/>
      <c r="W119" s="472"/>
      <c r="X119" s="574">
        <f t="shared" si="48"/>
        <v>0</v>
      </c>
      <c r="Y119" s="422" t="b">
        <f t="shared" ref="Y119:Y182" si="49">Q119=X119</f>
        <v>1</v>
      </c>
      <c r="Z119" s="574">
        <f t="shared" ref="Z119:Z182" si="50">Q119+R119+S119</f>
        <v>0</v>
      </c>
      <c r="AA119" s="710" t="e">
        <f t="shared" ref="AA119:AA182" si="51">R119/Q119</f>
        <v>#DIV/0!</v>
      </c>
    </row>
    <row r="120" spans="1:27" ht="12.75" hidden="1" customHeight="1" outlineLevel="1" x14ac:dyDescent="0.25">
      <c r="A120" s="479"/>
      <c r="B120" s="422" t="s">
        <v>385</v>
      </c>
      <c r="C120" s="445" t="s">
        <v>40</v>
      </c>
      <c r="D120" s="475" t="s">
        <v>41</v>
      </c>
      <c r="E120" s="475" t="s">
        <v>42</v>
      </c>
      <c r="F120" s="461">
        <f t="shared" ref="F120:F140" si="52">$F$16</f>
        <v>41.43</v>
      </c>
      <c r="G120" s="461">
        <v>2.5</v>
      </c>
      <c r="H120" s="461"/>
      <c r="I120" s="461"/>
      <c r="J120" s="461"/>
      <c r="K120" s="461"/>
      <c r="L120" s="725"/>
      <c r="M120" s="463">
        <f t="shared" ref="M120:M140" si="53">F120*G120</f>
        <v>103.58</v>
      </c>
      <c r="N120" s="463">
        <f t="shared" si="42"/>
        <v>10.36</v>
      </c>
      <c r="O120" s="463">
        <f t="shared" si="43"/>
        <v>27.24</v>
      </c>
      <c r="P120" s="463">
        <f t="shared" si="44"/>
        <v>309.7</v>
      </c>
      <c r="Q120" s="463">
        <f t="shared" si="45"/>
        <v>450.88</v>
      </c>
      <c r="R120" s="463">
        <f t="shared" si="46"/>
        <v>186.23</v>
      </c>
      <c r="S120" s="463">
        <f t="shared" si="47"/>
        <v>89.27</v>
      </c>
      <c r="T120" s="463">
        <f t="shared" ref="T120:T140" si="54">ROUND(Q120*1.298,1)</f>
        <v>585.20000000000005</v>
      </c>
      <c r="U120" s="472"/>
      <c r="V120" s="472"/>
      <c r="W120" s="472"/>
      <c r="X120" s="574">
        <f t="shared" si="48"/>
        <v>450.88</v>
      </c>
      <c r="Y120" s="422" t="b">
        <f t="shared" si="49"/>
        <v>1</v>
      </c>
      <c r="Z120" s="574">
        <f t="shared" si="50"/>
        <v>726.38</v>
      </c>
      <c r="AA120" s="710">
        <f t="shared" si="51"/>
        <v>0.41</v>
      </c>
    </row>
    <row r="121" spans="1:27" ht="15.75" hidden="1" customHeight="1" outlineLevel="1" x14ac:dyDescent="0.25">
      <c r="A121" s="479" t="s">
        <v>386</v>
      </c>
      <c r="B121" s="422" t="s">
        <v>387</v>
      </c>
      <c r="C121" s="445" t="s">
        <v>45</v>
      </c>
      <c r="D121" s="475" t="s">
        <v>41</v>
      </c>
      <c r="E121" s="475" t="s">
        <v>42</v>
      </c>
      <c r="F121" s="461">
        <f t="shared" si="52"/>
        <v>41.43</v>
      </c>
      <c r="G121" s="461">
        <v>0.72</v>
      </c>
      <c r="H121" s="461"/>
      <c r="I121" s="461"/>
      <c r="J121" s="461"/>
      <c r="K121" s="461"/>
      <c r="L121" s="725"/>
      <c r="M121" s="463">
        <f t="shared" si="53"/>
        <v>29.83</v>
      </c>
      <c r="N121" s="463">
        <f t="shared" si="42"/>
        <v>2.98</v>
      </c>
      <c r="O121" s="463">
        <f t="shared" si="43"/>
        <v>7.85</v>
      </c>
      <c r="P121" s="463">
        <f t="shared" si="44"/>
        <v>89.19</v>
      </c>
      <c r="Q121" s="463">
        <f t="shared" si="45"/>
        <v>129.85</v>
      </c>
      <c r="R121" s="463">
        <f t="shared" si="46"/>
        <v>53.61</v>
      </c>
      <c r="S121" s="463">
        <f t="shared" si="47"/>
        <v>25.7</v>
      </c>
      <c r="T121" s="463">
        <f t="shared" si="54"/>
        <v>168.5</v>
      </c>
      <c r="U121" s="472"/>
      <c r="V121" s="472"/>
      <c r="W121" s="472"/>
      <c r="X121" s="574">
        <f t="shared" si="48"/>
        <v>129.85</v>
      </c>
      <c r="Y121" s="422" t="b">
        <f t="shared" si="49"/>
        <v>1</v>
      </c>
      <c r="Z121" s="574">
        <f t="shared" si="50"/>
        <v>209.16</v>
      </c>
      <c r="AA121" s="710">
        <f t="shared" si="51"/>
        <v>0.41</v>
      </c>
    </row>
    <row r="122" spans="1:27" ht="18" hidden="1" customHeight="1" outlineLevel="1" x14ac:dyDescent="0.25">
      <c r="A122" s="479" t="s">
        <v>388</v>
      </c>
      <c r="B122" s="422" t="s">
        <v>389</v>
      </c>
      <c r="C122" s="445" t="s">
        <v>390</v>
      </c>
      <c r="D122" s="475" t="s">
        <v>41</v>
      </c>
      <c r="E122" s="475" t="s">
        <v>42</v>
      </c>
      <c r="F122" s="461">
        <f t="shared" si="52"/>
        <v>41.43</v>
      </c>
      <c r="G122" s="461">
        <v>0.28999999999999998</v>
      </c>
      <c r="H122" s="461"/>
      <c r="I122" s="461"/>
      <c r="J122" s="461"/>
      <c r="K122" s="461"/>
      <c r="L122" s="725"/>
      <c r="M122" s="463">
        <f t="shared" si="53"/>
        <v>12.01</v>
      </c>
      <c r="N122" s="463">
        <f t="shared" si="42"/>
        <v>1.2</v>
      </c>
      <c r="O122" s="463">
        <f t="shared" si="43"/>
        <v>3.16</v>
      </c>
      <c r="P122" s="463">
        <f t="shared" si="44"/>
        <v>35.909999999999997</v>
      </c>
      <c r="Q122" s="463">
        <f t="shared" si="45"/>
        <v>52.28</v>
      </c>
      <c r="R122" s="463">
        <f t="shared" si="46"/>
        <v>21.63</v>
      </c>
      <c r="S122" s="463">
        <f t="shared" si="47"/>
        <v>10.36</v>
      </c>
      <c r="T122" s="463">
        <f t="shared" si="54"/>
        <v>67.900000000000006</v>
      </c>
      <c r="U122" s="472"/>
      <c r="V122" s="472"/>
      <c r="W122" s="472"/>
      <c r="X122" s="574">
        <f t="shared" si="48"/>
        <v>52.28</v>
      </c>
      <c r="Y122" s="422" t="b">
        <f t="shared" si="49"/>
        <v>1</v>
      </c>
      <c r="Z122" s="574">
        <f t="shared" si="50"/>
        <v>84.27</v>
      </c>
      <c r="AA122" s="710">
        <f t="shared" si="51"/>
        <v>0.41</v>
      </c>
    </row>
    <row r="123" spans="1:27" ht="18" hidden="1" customHeight="1" outlineLevel="1" x14ac:dyDescent="0.25">
      <c r="A123" s="479" t="s">
        <v>391</v>
      </c>
      <c r="B123" s="422" t="s">
        <v>392</v>
      </c>
      <c r="C123" s="445" t="s">
        <v>393</v>
      </c>
      <c r="D123" s="475" t="s">
        <v>41</v>
      </c>
      <c r="E123" s="475" t="s">
        <v>42</v>
      </c>
      <c r="F123" s="461">
        <f t="shared" si="52"/>
        <v>41.43</v>
      </c>
      <c r="G123" s="461">
        <v>1.5</v>
      </c>
      <c r="H123" s="461"/>
      <c r="I123" s="461"/>
      <c r="J123" s="461"/>
      <c r="K123" s="461"/>
      <c r="L123" s="725"/>
      <c r="M123" s="463">
        <f t="shared" si="53"/>
        <v>62.15</v>
      </c>
      <c r="N123" s="463">
        <f t="shared" si="42"/>
        <v>6.22</v>
      </c>
      <c r="O123" s="463">
        <f t="shared" si="43"/>
        <v>16.350000000000001</v>
      </c>
      <c r="P123" s="463">
        <f t="shared" si="44"/>
        <v>185.83</v>
      </c>
      <c r="Q123" s="463">
        <f t="shared" si="45"/>
        <v>270.55</v>
      </c>
      <c r="R123" s="463">
        <f t="shared" si="46"/>
        <v>111.8</v>
      </c>
      <c r="S123" s="463">
        <f t="shared" si="47"/>
        <v>53.57</v>
      </c>
      <c r="T123" s="463">
        <f t="shared" si="54"/>
        <v>351.2</v>
      </c>
      <c r="U123" s="472"/>
      <c r="V123" s="472"/>
      <c r="W123" s="472"/>
      <c r="X123" s="574">
        <f t="shared" si="48"/>
        <v>270.55</v>
      </c>
      <c r="Y123" s="422" t="b">
        <f t="shared" si="49"/>
        <v>1</v>
      </c>
      <c r="Z123" s="574">
        <f t="shared" si="50"/>
        <v>435.92</v>
      </c>
      <c r="AA123" s="710">
        <f t="shared" si="51"/>
        <v>0.41</v>
      </c>
    </row>
    <row r="124" spans="1:27" ht="18" hidden="1" customHeight="1" outlineLevel="1" x14ac:dyDescent="0.25">
      <c r="A124" s="479" t="s">
        <v>394</v>
      </c>
      <c r="B124" s="422" t="s">
        <v>395</v>
      </c>
      <c r="C124" s="445" t="s">
        <v>396</v>
      </c>
      <c r="D124" s="475" t="s">
        <v>41</v>
      </c>
      <c r="E124" s="475" t="s">
        <v>42</v>
      </c>
      <c r="F124" s="461">
        <f t="shared" si="52"/>
        <v>41.43</v>
      </c>
      <c r="G124" s="461">
        <v>0.69</v>
      </c>
      <c r="H124" s="461"/>
      <c r="I124" s="461"/>
      <c r="J124" s="461"/>
      <c r="K124" s="461"/>
      <c r="L124" s="725"/>
      <c r="M124" s="463">
        <f t="shared" si="53"/>
        <v>28.59</v>
      </c>
      <c r="N124" s="463">
        <f t="shared" si="42"/>
        <v>2.86</v>
      </c>
      <c r="O124" s="463">
        <f t="shared" si="43"/>
        <v>7.52</v>
      </c>
      <c r="P124" s="463">
        <f t="shared" si="44"/>
        <v>85.48</v>
      </c>
      <c r="Q124" s="463">
        <f t="shared" si="45"/>
        <v>124.45</v>
      </c>
      <c r="R124" s="463">
        <f t="shared" si="46"/>
        <v>51.38</v>
      </c>
      <c r="S124" s="463">
        <f t="shared" si="47"/>
        <v>24.63</v>
      </c>
      <c r="T124" s="463">
        <f t="shared" si="54"/>
        <v>161.5</v>
      </c>
      <c r="U124" s="472"/>
      <c r="V124" s="472"/>
      <c r="W124" s="472"/>
      <c r="X124" s="574">
        <f t="shared" si="48"/>
        <v>124.45</v>
      </c>
      <c r="Y124" s="422" t="b">
        <f t="shared" si="49"/>
        <v>1</v>
      </c>
      <c r="Z124" s="574">
        <f t="shared" si="50"/>
        <v>200.46</v>
      </c>
      <c r="AA124" s="710">
        <f t="shared" si="51"/>
        <v>0.41</v>
      </c>
    </row>
    <row r="125" spans="1:27" ht="18" hidden="1" customHeight="1" outlineLevel="1" x14ac:dyDescent="0.25">
      <c r="A125" s="479" t="s">
        <v>397</v>
      </c>
      <c r="B125" s="422" t="s">
        <v>398</v>
      </c>
      <c r="C125" s="445" t="s">
        <v>86</v>
      </c>
      <c r="D125" s="475" t="s">
        <v>41</v>
      </c>
      <c r="E125" s="475" t="s">
        <v>42</v>
      </c>
      <c r="F125" s="461">
        <f t="shared" si="52"/>
        <v>41.43</v>
      </c>
      <c r="G125" s="461">
        <v>0.28999999999999998</v>
      </c>
      <c r="H125" s="461"/>
      <c r="I125" s="461"/>
      <c r="J125" s="461"/>
      <c r="K125" s="461"/>
      <c r="L125" s="725"/>
      <c r="M125" s="463">
        <f t="shared" si="53"/>
        <v>12.01</v>
      </c>
      <c r="N125" s="463">
        <f t="shared" si="42"/>
        <v>1.2</v>
      </c>
      <c r="O125" s="463">
        <f t="shared" si="43"/>
        <v>3.16</v>
      </c>
      <c r="P125" s="463">
        <f t="shared" si="44"/>
        <v>35.909999999999997</v>
      </c>
      <c r="Q125" s="463">
        <f t="shared" si="45"/>
        <v>52.28</v>
      </c>
      <c r="R125" s="463">
        <f t="shared" si="46"/>
        <v>21.63</v>
      </c>
      <c r="S125" s="463">
        <f t="shared" si="47"/>
        <v>10.36</v>
      </c>
      <c r="T125" s="463">
        <f t="shared" si="54"/>
        <v>67.900000000000006</v>
      </c>
      <c r="U125" s="472"/>
      <c r="V125" s="472"/>
      <c r="W125" s="472"/>
      <c r="X125" s="574">
        <f t="shared" si="48"/>
        <v>52.28</v>
      </c>
      <c r="Y125" s="422" t="b">
        <f t="shared" si="49"/>
        <v>1</v>
      </c>
      <c r="Z125" s="574">
        <f t="shared" si="50"/>
        <v>84.27</v>
      </c>
      <c r="AA125" s="710">
        <f t="shared" si="51"/>
        <v>0.41</v>
      </c>
    </row>
    <row r="126" spans="1:27" ht="18" hidden="1" customHeight="1" outlineLevel="1" x14ac:dyDescent="0.25">
      <c r="A126" s="479" t="s">
        <v>399</v>
      </c>
      <c r="B126" s="422" t="s">
        <v>400</v>
      </c>
      <c r="C126" s="445" t="s">
        <v>45</v>
      </c>
      <c r="D126" s="475" t="s">
        <v>41</v>
      </c>
      <c r="E126" s="475" t="s">
        <v>42</v>
      </c>
      <c r="F126" s="461">
        <f t="shared" si="52"/>
        <v>41.43</v>
      </c>
      <c r="G126" s="461">
        <v>0.36</v>
      </c>
      <c r="H126" s="461"/>
      <c r="I126" s="461"/>
      <c r="J126" s="461"/>
      <c r="K126" s="461"/>
      <c r="L126" s="725"/>
      <c r="M126" s="463">
        <f t="shared" si="53"/>
        <v>14.91</v>
      </c>
      <c r="N126" s="463">
        <f t="shared" si="42"/>
        <v>1.49</v>
      </c>
      <c r="O126" s="463">
        <f t="shared" si="43"/>
        <v>3.92</v>
      </c>
      <c r="P126" s="463">
        <f t="shared" si="44"/>
        <v>44.58</v>
      </c>
      <c r="Q126" s="463">
        <f t="shared" si="45"/>
        <v>64.900000000000006</v>
      </c>
      <c r="R126" s="463">
        <f t="shared" si="46"/>
        <v>26.78</v>
      </c>
      <c r="S126" s="463">
        <f t="shared" si="47"/>
        <v>12.84</v>
      </c>
      <c r="T126" s="463">
        <f t="shared" si="54"/>
        <v>84.2</v>
      </c>
      <c r="U126" s="472"/>
      <c r="V126" s="472"/>
      <c r="W126" s="472"/>
      <c r="X126" s="574">
        <f t="shared" si="48"/>
        <v>64.900000000000006</v>
      </c>
      <c r="Y126" s="422" t="b">
        <f t="shared" si="49"/>
        <v>1</v>
      </c>
      <c r="Z126" s="574">
        <f t="shared" si="50"/>
        <v>104.52</v>
      </c>
      <c r="AA126" s="710">
        <f t="shared" si="51"/>
        <v>0.41</v>
      </c>
    </row>
    <row r="127" spans="1:27" ht="18" hidden="1" customHeight="1" outlineLevel="1" x14ac:dyDescent="0.25">
      <c r="A127" s="479" t="s">
        <v>401</v>
      </c>
      <c r="B127" s="422" t="s">
        <v>402</v>
      </c>
      <c r="C127" s="445" t="s">
        <v>403</v>
      </c>
      <c r="D127" s="475" t="s">
        <v>41</v>
      </c>
      <c r="E127" s="475" t="s">
        <v>42</v>
      </c>
      <c r="F127" s="461">
        <f t="shared" si="52"/>
        <v>41.43</v>
      </c>
      <c r="G127" s="461">
        <v>0.15</v>
      </c>
      <c r="H127" s="461"/>
      <c r="I127" s="461"/>
      <c r="J127" s="461"/>
      <c r="K127" s="461"/>
      <c r="L127" s="725"/>
      <c r="M127" s="463">
        <f t="shared" si="53"/>
        <v>6.21</v>
      </c>
      <c r="N127" s="463">
        <f t="shared" si="42"/>
        <v>0.62</v>
      </c>
      <c r="O127" s="463">
        <f t="shared" si="43"/>
        <v>1.63</v>
      </c>
      <c r="P127" s="463">
        <f t="shared" si="44"/>
        <v>18.57</v>
      </c>
      <c r="Q127" s="463">
        <f t="shared" si="45"/>
        <v>27.03</v>
      </c>
      <c r="R127" s="463">
        <f t="shared" si="46"/>
        <v>11.18</v>
      </c>
      <c r="S127" s="463">
        <f t="shared" si="47"/>
        <v>5.36</v>
      </c>
      <c r="T127" s="463">
        <f t="shared" si="54"/>
        <v>35.1</v>
      </c>
      <c r="U127" s="472"/>
      <c r="V127" s="472"/>
      <c r="W127" s="472"/>
      <c r="X127" s="574">
        <f t="shared" si="48"/>
        <v>27.03</v>
      </c>
      <c r="Y127" s="422" t="b">
        <f t="shared" si="49"/>
        <v>1</v>
      </c>
      <c r="Z127" s="574">
        <f t="shared" si="50"/>
        <v>43.57</v>
      </c>
      <c r="AA127" s="710">
        <f t="shared" si="51"/>
        <v>0.41</v>
      </c>
    </row>
    <row r="128" spans="1:27" ht="18" hidden="1" customHeight="1" outlineLevel="1" x14ac:dyDescent="0.25">
      <c r="A128" s="479" t="s">
        <v>404</v>
      </c>
      <c r="B128" s="422" t="s">
        <v>405</v>
      </c>
      <c r="C128" s="445" t="s">
        <v>406</v>
      </c>
      <c r="D128" s="475" t="s">
        <v>41</v>
      </c>
      <c r="E128" s="475" t="s">
        <v>42</v>
      </c>
      <c r="F128" s="461">
        <f t="shared" si="52"/>
        <v>41.43</v>
      </c>
      <c r="G128" s="461">
        <v>0.2</v>
      </c>
      <c r="H128" s="461"/>
      <c r="I128" s="461"/>
      <c r="J128" s="461"/>
      <c r="K128" s="461"/>
      <c r="L128" s="725"/>
      <c r="M128" s="463">
        <f t="shared" si="53"/>
        <v>8.2899999999999991</v>
      </c>
      <c r="N128" s="463">
        <f t="shared" si="42"/>
        <v>0.83</v>
      </c>
      <c r="O128" s="463">
        <f t="shared" si="43"/>
        <v>2.1800000000000002</v>
      </c>
      <c r="P128" s="463">
        <f t="shared" si="44"/>
        <v>24.79</v>
      </c>
      <c r="Q128" s="463">
        <f t="shared" si="45"/>
        <v>36.090000000000003</v>
      </c>
      <c r="R128" s="463">
        <f t="shared" si="46"/>
        <v>14.87</v>
      </c>
      <c r="S128" s="463">
        <f t="shared" si="47"/>
        <v>7.14</v>
      </c>
      <c r="T128" s="463">
        <f t="shared" si="54"/>
        <v>46.8</v>
      </c>
      <c r="U128" s="472"/>
      <c r="V128" s="472"/>
      <c r="W128" s="472"/>
      <c r="X128" s="574">
        <f t="shared" si="48"/>
        <v>36.090000000000003</v>
      </c>
      <c r="Y128" s="422" t="b">
        <f t="shared" si="49"/>
        <v>1</v>
      </c>
      <c r="Z128" s="574">
        <f t="shared" si="50"/>
        <v>58.1</v>
      </c>
      <c r="AA128" s="710">
        <f t="shared" si="51"/>
        <v>0.41</v>
      </c>
    </row>
    <row r="129" spans="1:27" ht="18" hidden="1" customHeight="1" outlineLevel="1" x14ac:dyDescent="0.25">
      <c r="A129" s="479" t="s">
        <v>407</v>
      </c>
      <c r="B129" s="422" t="s">
        <v>408</v>
      </c>
      <c r="C129" s="445" t="s">
        <v>409</v>
      </c>
      <c r="D129" s="475" t="s">
        <v>41</v>
      </c>
      <c r="E129" s="475" t="s">
        <v>42</v>
      </c>
      <c r="F129" s="461">
        <f t="shared" si="52"/>
        <v>41.43</v>
      </c>
      <c r="G129" s="461">
        <v>0.25</v>
      </c>
      <c r="H129" s="461"/>
      <c r="I129" s="461"/>
      <c r="J129" s="461"/>
      <c r="K129" s="461"/>
      <c r="L129" s="725"/>
      <c r="M129" s="463">
        <f t="shared" si="53"/>
        <v>10.36</v>
      </c>
      <c r="N129" s="463">
        <f t="shared" si="42"/>
        <v>1.04</v>
      </c>
      <c r="O129" s="463">
        <f t="shared" si="43"/>
        <v>2.72</v>
      </c>
      <c r="P129" s="463">
        <f t="shared" si="44"/>
        <v>30.98</v>
      </c>
      <c r="Q129" s="463">
        <f t="shared" si="45"/>
        <v>45.1</v>
      </c>
      <c r="R129" s="463">
        <f t="shared" si="46"/>
        <v>18.600000000000001</v>
      </c>
      <c r="S129" s="463">
        <f t="shared" si="47"/>
        <v>8.92</v>
      </c>
      <c r="T129" s="463">
        <f t="shared" si="54"/>
        <v>58.5</v>
      </c>
      <c r="U129" s="472"/>
      <c r="V129" s="472"/>
      <c r="W129" s="472"/>
      <c r="X129" s="574">
        <f t="shared" si="48"/>
        <v>45.1</v>
      </c>
      <c r="Y129" s="422" t="b">
        <f t="shared" si="49"/>
        <v>1</v>
      </c>
      <c r="Z129" s="574">
        <f t="shared" si="50"/>
        <v>72.62</v>
      </c>
      <c r="AA129" s="710">
        <f t="shared" si="51"/>
        <v>0.41</v>
      </c>
    </row>
    <row r="130" spans="1:27" ht="18" hidden="1" customHeight="1" outlineLevel="1" x14ac:dyDescent="0.25">
      <c r="A130" s="479" t="s">
        <v>410</v>
      </c>
      <c r="B130" s="422" t="s">
        <v>411</v>
      </c>
      <c r="C130" s="445" t="s">
        <v>412</v>
      </c>
      <c r="D130" s="475" t="s">
        <v>41</v>
      </c>
      <c r="E130" s="475" t="s">
        <v>42</v>
      </c>
      <c r="F130" s="461">
        <f t="shared" si="52"/>
        <v>41.43</v>
      </c>
      <c r="G130" s="461">
        <v>0.15</v>
      </c>
      <c r="H130" s="461"/>
      <c r="I130" s="461"/>
      <c r="J130" s="461"/>
      <c r="K130" s="461"/>
      <c r="L130" s="725"/>
      <c r="M130" s="463">
        <f t="shared" si="53"/>
        <v>6.21</v>
      </c>
      <c r="N130" s="463">
        <f t="shared" si="42"/>
        <v>0.62</v>
      </c>
      <c r="O130" s="463">
        <f t="shared" si="43"/>
        <v>1.63</v>
      </c>
      <c r="P130" s="463">
        <f t="shared" si="44"/>
        <v>18.57</v>
      </c>
      <c r="Q130" s="463">
        <f t="shared" si="45"/>
        <v>27.03</v>
      </c>
      <c r="R130" s="463">
        <f t="shared" si="46"/>
        <v>11.18</v>
      </c>
      <c r="S130" s="463">
        <f t="shared" si="47"/>
        <v>5.36</v>
      </c>
      <c r="T130" s="463">
        <f t="shared" si="54"/>
        <v>35.1</v>
      </c>
      <c r="U130" s="472"/>
      <c r="V130" s="472"/>
      <c r="W130" s="472"/>
      <c r="X130" s="574">
        <f t="shared" si="48"/>
        <v>27.03</v>
      </c>
      <c r="Y130" s="422" t="b">
        <f t="shared" si="49"/>
        <v>1</v>
      </c>
      <c r="Z130" s="574">
        <f t="shared" si="50"/>
        <v>43.57</v>
      </c>
      <c r="AA130" s="710">
        <f t="shared" si="51"/>
        <v>0.41</v>
      </c>
    </row>
    <row r="131" spans="1:27" ht="18" hidden="1" customHeight="1" outlineLevel="1" x14ac:dyDescent="0.25">
      <c r="A131" s="479" t="s">
        <v>413</v>
      </c>
      <c r="B131" s="422" t="s">
        <v>414</v>
      </c>
      <c r="C131" s="445" t="s">
        <v>415</v>
      </c>
      <c r="D131" s="475" t="s">
        <v>41</v>
      </c>
      <c r="E131" s="475" t="s">
        <v>42</v>
      </c>
      <c r="F131" s="461">
        <f t="shared" si="52"/>
        <v>41.43</v>
      </c>
      <c r="G131" s="461">
        <v>0.2</v>
      </c>
      <c r="H131" s="461"/>
      <c r="I131" s="461"/>
      <c r="J131" s="461"/>
      <c r="K131" s="461"/>
      <c r="L131" s="725"/>
      <c r="M131" s="463">
        <f t="shared" si="53"/>
        <v>8.2899999999999991</v>
      </c>
      <c r="N131" s="463">
        <f t="shared" si="42"/>
        <v>0.83</v>
      </c>
      <c r="O131" s="463">
        <f t="shared" si="43"/>
        <v>2.1800000000000002</v>
      </c>
      <c r="P131" s="463">
        <f t="shared" si="44"/>
        <v>24.79</v>
      </c>
      <c r="Q131" s="463">
        <f t="shared" si="45"/>
        <v>36.090000000000003</v>
      </c>
      <c r="R131" s="463">
        <f t="shared" si="46"/>
        <v>14.87</v>
      </c>
      <c r="S131" s="463">
        <f t="shared" si="47"/>
        <v>7.14</v>
      </c>
      <c r="T131" s="463">
        <f t="shared" si="54"/>
        <v>46.8</v>
      </c>
      <c r="U131" s="472"/>
      <c r="V131" s="472"/>
      <c r="W131" s="472"/>
      <c r="X131" s="574">
        <f t="shared" si="48"/>
        <v>36.090000000000003</v>
      </c>
      <c r="Y131" s="422" t="b">
        <f t="shared" si="49"/>
        <v>1</v>
      </c>
      <c r="Z131" s="574">
        <f t="shared" si="50"/>
        <v>58.1</v>
      </c>
      <c r="AA131" s="710">
        <f t="shared" si="51"/>
        <v>0.41</v>
      </c>
    </row>
    <row r="132" spans="1:27" ht="18" hidden="1" customHeight="1" outlineLevel="1" x14ac:dyDescent="0.25">
      <c r="A132" s="479" t="s">
        <v>416</v>
      </c>
      <c r="B132" s="422" t="s">
        <v>417</v>
      </c>
      <c r="C132" s="445" t="s">
        <v>418</v>
      </c>
      <c r="D132" s="475" t="s">
        <v>41</v>
      </c>
      <c r="E132" s="475" t="s">
        <v>42</v>
      </c>
      <c r="F132" s="461">
        <f t="shared" si="52"/>
        <v>41.43</v>
      </c>
      <c r="G132" s="461">
        <v>1.24</v>
      </c>
      <c r="H132" s="461"/>
      <c r="I132" s="461"/>
      <c r="J132" s="461"/>
      <c r="K132" s="461"/>
      <c r="L132" s="725"/>
      <c r="M132" s="463">
        <f t="shared" si="53"/>
        <v>51.37</v>
      </c>
      <c r="N132" s="463">
        <f t="shared" si="42"/>
        <v>5.14</v>
      </c>
      <c r="O132" s="463">
        <f t="shared" si="43"/>
        <v>13.51</v>
      </c>
      <c r="P132" s="463">
        <f t="shared" si="44"/>
        <v>153.6</v>
      </c>
      <c r="Q132" s="463">
        <f t="shared" si="45"/>
        <v>223.62</v>
      </c>
      <c r="R132" s="463">
        <f t="shared" si="46"/>
        <v>92.42</v>
      </c>
      <c r="S132" s="463">
        <f t="shared" si="47"/>
        <v>44.28</v>
      </c>
      <c r="T132" s="463">
        <f t="shared" si="54"/>
        <v>290.3</v>
      </c>
      <c r="U132" s="472"/>
      <c r="V132" s="472"/>
      <c r="W132" s="472"/>
      <c r="X132" s="574">
        <f t="shared" si="48"/>
        <v>223.62</v>
      </c>
      <c r="Y132" s="422" t="b">
        <f t="shared" si="49"/>
        <v>1</v>
      </c>
      <c r="Z132" s="574">
        <f t="shared" si="50"/>
        <v>360.32</v>
      </c>
      <c r="AA132" s="710">
        <f t="shared" si="51"/>
        <v>0.41</v>
      </c>
    </row>
    <row r="133" spans="1:27" ht="18" hidden="1" customHeight="1" outlineLevel="1" x14ac:dyDescent="0.25">
      <c r="A133" s="479" t="s">
        <v>419</v>
      </c>
      <c r="B133" s="422" t="s">
        <v>420</v>
      </c>
      <c r="C133" s="445" t="s">
        <v>421</v>
      </c>
      <c r="D133" s="475" t="s">
        <v>41</v>
      </c>
      <c r="E133" s="475" t="s">
        <v>42</v>
      </c>
      <c r="F133" s="461">
        <f t="shared" si="52"/>
        <v>41.43</v>
      </c>
      <c r="G133" s="461">
        <v>0.81</v>
      </c>
      <c r="H133" s="461"/>
      <c r="I133" s="461"/>
      <c r="J133" s="461"/>
      <c r="K133" s="461"/>
      <c r="L133" s="725"/>
      <c r="M133" s="463">
        <f t="shared" si="53"/>
        <v>33.56</v>
      </c>
      <c r="N133" s="463">
        <f t="shared" si="42"/>
        <v>3.36</v>
      </c>
      <c r="O133" s="463">
        <f t="shared" si="43"/>
        <v>8.83</v>
      </c>
      <c r="P133" s="463">
        <f t="shared" si="44"/>
        <v>100.34</v>
      </c>
      <c r="Q133" s="463">
        <f t="shared" si="45"/>
        <v>146.09</v>
      </c>
      <c r="R133" s="463">
        <f t="shared" si="46"/>
        <v>60.34</v>
      </c>
      <c r="S133" s="463">
        <f t="shared" si="47"/>
        <v>28.92</v>
      </c>
      <c r="T133" s="463">
        <f t="shared" si="54"/>
        <v>189.6</v>
      </c>
      <c r="U133" s="472"/>
      <c r="V133" s="472"/>
      <c r="W133" s="472"/>
      <c r="X133" s="574">
        <f t="shared" si="48"/>
        <v>146.09</v>
      </c>
      <c r="Y133" s="422" t="b">
        <f t="shared" si="49"/>
        <v>1</v>
      </c>
      <c r="Z133" s="574">
        <f t="shared" si="50"/>
        <v>235.35</v>
      </c>
      <c r="AA133" s="710">
        <f t="shared" si="51"/>
        <v>0.41</v>
      </c>
    </row>
    <row r="134" spans="1:27" ht="18" hidden="1" customHeight="1" outlineLevel="1" x14ac:dyDescent="0.25">
      <c r="A134" s="479" t="s">
        <v>422</v>
      </c>
      <c r="B134" s="422" t="s">
        <v>423</v>
      </c>
      <c r="C134" s="445" t="s">
        <v>424</v>
      </c>
      <c r="D134" s="475" t="s">
        <v>41</v>
      </c>
      <c r="E134" s="475" t="s">
        <v>42</v>
      </c>
      <c r="F134" s="461">
        <f t="shared" si="52"/>
        <v>41.43</v>
      </c>
      <c r="G134" s="461">
        <v>0.69</v>
      </c>
      <c r="H134" s="461"/>
      <c r="I134" s="461"/>
      <c r="J134" s="461"/>
      <c r="K134" s="461"/>
      <c r="L134" s="725"/>
      <c r="M134" s="463">
        <f t="shared" si="53"/>
        <v>28.59</v>
      </c>
      <c r="N134" s="463">
        <f t="shared" si="42"/>
        <v>2.86</v>
      </c>
      <c r="O134" s="463">
        <f t="shared" si="43"/>
        <v>7.52</v>
      </c>
      <c r="P134" s="463">
        <f t="shared" si="44"/>
        <v>85.48</v>
      </c>
      <c r="Q134" s="463">
        <f t="shared" si="45"/>
        <v>124.45</v>
      </c>
      <c r="R134" s="463">
        <f t="shared" si="46"/>
        <v>51.38</v>
      </c>
      <c r="S134" s="463">
        <f t="shared" si="47"/>
        <v>24.63</v>
      </c>
      <c r="T134" s="463">
        <f t="shared" si="54"/>
        <v>161.5</v>
      </c>
      <c r="U134" s="472"/>
      <c r="V134" s="472"/>
      <c r="W134" s="472"/>
      <c r="X134" s="574">
        <f t="shared" si="48"/>
        <v>124.45</v>
      </c>
      <c r="Y134" s="422" t="b">
        <f t="shared" si="49"/>
        <v>1</v>
      </c>
      <c r="Z134" s="574">
        <f t="shared" si="50"/>
        <v>200.46</v>
      </c>
      <c r="AA134" s="710">
        <f t="shared" si="51"/>
        <v>0.41</v>
      </c>
    </row>
    <row r="135" spans="1:27" ht="18" hidden="1" customHeight="1" outlineLevel="1" x14ac:dyDescent="0.25">
      <c r="A135" s="479" t="s">
        <v>425</v>
      </c>
      <c r="B135" s="422" t="s">
        <v>426</v>
      </c>
      <c r="C135" s="445" t="s">
        <v>427</v>
      </c>
      <c r="D135" s="475" t="s">
        <v>41</v>
      </c>
      <c r="E135" s="475" t="s">
        <v>42</v>
      </c>
      <c r="F135" s="461">
        <f t="shared" si="52"/>
        <v>41.43</v>
      </c>
      <c r="G135" s="461">
        <v>0.43</v>
      </c>
      <c r="H135" s="461"/>
      <c r="I135" s="461"/>
      <c r="J135" s="461"/>
      <c r="K135" s="461"/>
      <c r="L135" s="725"/>
      <c r="M135" s="463">
        <f t="shared" si="53"/>
        <v>17.809999999999999</v>
      </c>
      <c r="N135" s="463">
        <f t="shared" si="42"/>
        <v>1.78</v>
      </c>
      <c r="O135" s="463">
        <f t="shared" si="43"/>
        <v>4.68</v>
      </c>
      <c r="P135" s="463">
        <f t="shared" si="44"/>
        <v>53.25</v>
      </c>
      <c r="Q135" s="463">
        <f t="shared" si="45"/>
        <v>77.52</v>
      </c>
      <c r="R135" s="463">
        <f t="shared" si="46"/>
        <v>32</v>
      </c>
      <c r="S135" s="463">
        <f t="shared" si="47"/>
        <v>15.35</v>
      </c>
      <c r="T135" s="463">
        <f t="shared" si="54"/>
        <v>100.6</v>
      </c>
      <c r="U135" s="472"/>
      <c r="V135" s="472"/>
      <c r="W135" s="472"/>
      <c r="X135" s="574">
        <f t="shared" si="48"/>
        <v>77.52</v>
      </c>
      <c r="Y135" s="422" t="b">
        <f t="shared" si="49"/>
        <v>1</v>
      </c>
      <c r="Z135" s="574">
        <f t="shared" si="50"/>
        <v>124.87</v>
      </c>
      <c r="AA135" s="710">
        <f t="shared" si="51"/>
        <v>0.41</v>
      </c>
    </row>
    <row r="136" spans="1:27" ht="18" hidden="1" customHeight="1" outlineLevel="1" x14ac:dyDescent="0.25">
      <c r="A136" s="479" t="s">
        <v>428</v>
      </c>
      <c r="B136" s="422" t="s">
        <v>429</v>
      </c>
      <c r="C136" s="445" t="s">
        <v>421</v>
      </c>
      <c r="D136" s="475" t="s">
        <v>41</v>
      </c>
      <c r="E136" s="475" t="s">
        <v>42</v>
      </c>
      <c r="F136" s="461">
        <f t="shared" si="52"/>
        <v>41.43</v>
      </c>
      <c r="G136" s="461">
        <v>0.5</v>
      </c>
      <c r="H136" s="461"/>
      <c r="I136" s="461"/>
      <c r="J136" s="461"/>
      <c r="K136" s="461"/>
      <c r="L136" s="725"/>
      <c r="M136" s="463">
        <f t="shared" si="53"/>
        <v>20.72</v>
      </c>
      <c r="N136" s="463">
        <f t="shared" si="42"/>
        <v>2.0699999999999998</v>
      </c>
      <c r="O136" s="463">
        <f t="shared" si="43"/>
        <v>5.45</v>
      </c>
      <c r="P136" s="463">
        <f t="shared" si="44"/>
        <v>61.95</v>
      </c>
      <c r="Q136" s="463">
        <f t="shared" si="45"/>
        <v>90.19</v>
      </c>
      <c r="R136" s="463">
        <f t="shared" si="46"/>
        <v>37.29</v>
      </c>
      <c r="S136" s="463">
        <f t="shared" si="47"/>
        <v>17.86</v>
      </c>
      <c r="T136" s="463">
        <f t="shared" si="54"/>
        <v>117.1</v>
      </c>
      <c r="U136" s="472"/>
      <c r="V136" s="472"/>
      <c r="W136" s="472"/>
      <c r="X136" s="574">
        <f t="shared" si="48"/>
        <v>90.19</v>
      </c>
      <c r="Y136" s="422" t="b">
        <f t="shared" si="49"/>
        <v>1</v>
      </c>
      <c r="Z136" s="574">
        <f t="shared" si="50"/>
        <v>145.34</v>
      </c>
      <c r="AA136" s="710">
        <f t="shared" si="51"/>
        <v>0.41</v>
      </c>
    </row>
    <row r="137" spans="1:27" ht="18" hidden="1" customHeight="1" outlineLevel="1" x14ac:dyDescent="0.25">
      <c r="A137" s="479" t="s">
        <v>430</v>
      </c>
      <c r="B137" s="422" t="s">
        <v>431</v>
      </c>
      <c r="C137" s="445" t="s">
        <v>45</v>
      </c>
      <c r="D137" s="475" t="s">
        <v>41</v>
      </c>
      <c r="E137" s="475" t="s">
        <v>42</v>
      </c>
      <c r="F137" s="461">
        <f t="shared" si="52"/>
        <v>41.43</v>
      </c>
      <c r="G137" s="461">
        <v>0.3</v>
      </c>
      <c r="H137" s="461"/>
      <c r="I137" s="461"/>
      <c r="J137" s="461"/>
      <c r="K137" s="461"/>
      <c r="L137" s="725"/>
      <c r="M137" s="463">
        <f t="shared" si="53"/>
        <v>12.43</v>
      </c>
      <c r="N137" s="463">
        <f t="shared" si="42"/>
        <v>1.24</v>
      </c>
      <c r="O137" s="463">
        <f t="shared" si="43"/>
        <v>3.27</v>
      </c>
      <c r="P137" s="463">
        <f t="shared" si="44"/>
        <v>37.17</v>
      </c>
      <c r="Q137" s="463">
        <f t="shared" si="45"/>
        <v>54.11</v>
      </c>
      <c r="R137" s="463">
        <f t="shared" si="46"/>
        <v>22.32</v>
      </c>
      <c r="S137" s="463">
        <f t="shared" si="47"/>
        <v>10.71</v>
      </c>
      <c r="T137" s="463">
        <f t="shared" si="54"/>
        <v>70.2</v>
      </c>
      <c r="U137" s="472"/>
      <c r="V137" s="472"/>
      <c r="W137" s="472"/>
      <c r="X137" s="574">
        <f t="shared" si="48"/>
        <v>54.11</v>
      </c>
      <c r="Y137" s="422" t="b">
        <f t="shared" si="49"/>
        <v>1</v>
      </c>
      <c r="Z137" s="574">
        <f t="shared" si="50"/>
        <v>87.14</v>
      </c>
      <c r="AA137" s="710">
        <f t="shared" si="51"/>
        <v>0.41</v>
      </c>
    </row>
    <row r="138" spans="1:27" ht="18" hidden="1" customHeight="1" outlineLevel="1" x14ac:dyDescent="0.25">
      <c r="A138" s="479" t="s">
        <v>432</v>
      </c>
      <c r="B138" s="422" t="s">
        <v>433</v>
      </c>
      <c r="C138" s="445" t="s">
        <v>45</v>
      </c>
      <c r="D138" s="475" t="s">
        <v>41</v>
      </c>
      <c r="E138" s="475" t="s">
        <v>42</v>
      </c>
      <c r="F138" s="461">
        <f t="shared" si="52"/>
        <v>41.43</v>
      </c>
      <c r="G138" s="461">
        <v>0.4</v>
      </c>
      <c r="H138" s="461"/>
      <c r="I138" s="461"/>
      <c r="J138" s="461"/>
      <c r="K138" s="461"/>
      <c r="L138" s="725"/>
      <c r="M138" s="463">
        <f t="shared" si="53"/>
        <v>16.57</v>
      </c>
      <c r="N138" s="463">
        <f t="shared" si="42"/>
        <v>1.66</v>
      </c>
      <c r="O138" s="463">
        <f t="shared" si="43"/>
        <v>4.3600000000000003</v>
      </c>
      <c r="P138" s="463">
        <f t="shared" si="44"/>
        <v>49.54</v>
      </c>
      <c r="Q138" s="463">
        <f t="shared" si="45"/>
        <v>72.13</v>
      </c>
      <c r="R138" s="463">
        <f t="shared" si="46"/>
        <v>29.78</v>
      </c>
      <c r="S138" s="463">
        <f t="shared" si="47"/>
        <v>14.28</v>
      </c>
      <c r="T138" s="463">
        <f t="shared" si="54"/>
        <v>93.6</v>
      </c>
      <c r="U138" s="472"/>
      <c r="V138" s="472"/>
      <c r="W138" s="472"/>
      <c r="X138" s="574">
        <f t="shared" si="48"/>
        <v>72.13</v>
      </c>
      <c r="Y138" s="422" t="b">
        <f t="shared" si="49"/>
        <v>1</v>
      </c>
      <c r="Z138" s="574">
        <f t="shared" si="50"/>
        <v>116.19</v>
      </c>
      <c r="AA138" s="710">
        <f t="shared" si="51"/>
        <v>0.41</v>
      </c>
    </row>
    <row r="139" spans="1:27" ht="18" hidden="1" customHeight="1" outlineLevel="1" x14ac:dyDescent="0.25">
      <c r="A139" s="479" t="s">
        <v>434</v>
      </c>
      <c r="B139" s="422" t="s">
        <v>435</v>
      </c>
      <c r="C139" s="445" t="s">
        <v>436</v>
      </c>
      <c r="D139" s="475" t="s">
        <v>41</v>
      </c>
      <c r="E139" s="475" t="s">
        <v>42</v>
      </c>
      <c r="F139" s="461">
        <f t="shared" si="52"/>
        <v>41.43</v>
      </c>
      <c r="G139" s="461">
        <v>0.6</v>
      </c>
      <c r="H139" s="461"/>
      <c r="I139" s="461"/>
      <c r="J139" s="461"/>
      <c r="K139" s="461"/>
      <c r="L139" s="725"/>
      <c r="M139" s="463">
        <f t="shared" si="53"/>
        <v>24.86</v>
      </c>
      <c r="N139" s="463">
        <f t="shared" si="42"/>
        <v>2.4900000000000002</v>
      </c>
      <c r="O139" s="463">
        <f t="shared" si="43"/>
        <v>6.54</v>
      </c>
      <c r="P139" s="463">
        <f t="shared" si="44"/>
        <v>74.33</v>
      </c>
      <c r="Q139" s="463">
        <f t="shared" si="45"/>
        <v>108.22</v>
      </c>
      <c r="R139" s="463">
        <f t="shared" si="46"/>
        <v>44.74</v>
      </c>
      <c r="S139" s="463">
        <f t="shared" si="47"/>
        <v>21.43</v>
      </c>
      <c r="T139" s="463">
        <f t="shared" si="54"/>
        <v>140.5</v>
      </c>
      <c r="U139" s="472"/>
      <c r="V139" s="472"/>
      <c r="W139" s="472"/>
      <c r="X139" s="574">
        <f t="shared" si="48"/>
        <v>108.22</v>
      </c>
      <c r="Y139" s="422" t="b">
        <f t="shared" si="49"/>
        <v>1</v>
      </c>
      <c r="Z139" s="574">
        <f t="shared" si="50"/>
        <v>174.39</v>
      </c>
      <c r="AA139" s="710">
        <f t="shared" si="51"/>
        <v>0.41</v>
      </c>
    </row>
    <row r="140" spans="1:27" ht="18" hidden="1" customHeight="1" outlineLevel="1" x14ac:dyDescent="0.25">
      <c r="A140" s="479" t="s">
        <v>437</v>
      </c>
      <c r="B140" s="422" t="s">
        <v>438</v>
      </c>
      <c r="C140" s="445" t="s">
        <v>45</v>
      </c>
      <c r="D140" s="475" t="s">
        <v>41</v>
      </c>
      <c r="E140" s="475" t="s">
        <v>42</v>
      </c>
      <c r="F140" s="461">
        <f t="shared" si="52"/>
        <v>41.43</v>
      </c>
      <c r="G140" s="461">
        <v>0.9</v>
      </c>
      <c r="H140" s="461"/>
      <c r="I140" s="461"/>
      <c r="J140" s="461"/>
      <c r="K140" s="461"/>
      <c r="L140" s="725"/>
      <c r="M140" s="463">
        <f t="shared" si="53"/>
        <v>37.29</v>
      </c>
      <c r="N140" s="463">
        <f t="shared" si="42"/>
        <v>3.73</v>
      </c>
      <c r="O140" s="463">
        <f t="shared" si="43"/>
        <v>9.81</v>
      </c>
      <c r="P140" s="463">
        <f t="shared" si="44"/>
        <v>111.5</v>
      </c>
      <c r="Q140" s="463">
        <f t="shared" si="45"/>
        <v>162.33000000000001</v>
      </c>
      <c r="R140" s="463">
        <f t="shared" si="46"/>
        <v>67.06</v>
      </c>
      <c r="S140" s="463">
        <f t="shared" si="47"/>
        <v>32.14</v>
      </c>
      <c r="T140" s="463">
        <f t="shared" si="54"/>
        <v>210.7</v>
      </c>
      <c r="U140" s="472"/>
      <c r="V140" s="472"/>
      <c r="W140" s="472"/>
      <c r="X140" s="574">
        <f t="shared" si="48"/>
        <v>162.33000000000001</v>
      </c>
      <c r="Y140" s="422" t="b">
        <f t="shared" si="49"/>
        <v>1</v>
      </c>
      <c r="Z140" s="574">
        <f t="shared" si="50"/>
        <v>261.52999999999997</v>
      </c>
      <c r="AA140" s="710">
        <f t="shared" si="51"/>
        <v>0.41</v>
      </c>
    </row>
    <row r="141" spans="1:27" ht="13.5" hidden="1" customHeight="1" outlineLevel="1" x14ac:dyDescent="0.25">
      <c r="A141" s="479"/>
      <c r="B141" s="422" t="s">
        <v>439</v>
      </c>
      <c r="C141" s="445"/>
      <c r="D141" s="475"/>
      <c r="E141" s="475"/>
      <c r="F141" s="461"/>
      <c r="G141" s="461"/>
      <c r="H141" s="461"/>
      <c r="I141" s="461"/>
      <c r="J141" s="461"/>
      <c r="K141" s="461"/>
      <c r="L141" s="725"/>
      <c r="M141" s="463"/>
      <c r="N141" s="463">
        <f t="shared" si="42"/>
        <v>0</v>
      </c>
      <c r="O141" s="463">
        <f t="shared" si="43"/>
        <v>0</v>
      </c>
      <c r="P141" s="463">
        <f t="shared" si="44"/>
        <v>0</v>
      </c>
      <c r="Q141" s="463">
        <f t="shared" si="45"/>
        <v>0</v>
      </c>
      <c r="R141" s="463">
        <f t="shared" si="46"/>
        <v>0</v>
      </c>
      <c r="S141" s="463">
        <f t="shared" si="47"/>
        <v>0</v>
      </c>
      <c r="T141" s="463"/>
      <c r="U141" s="472"/>
      <c r="V141" s="472"/>
      <c r="W141" s="472"/>
      <c r="X141" s="574">
        <f t="shared" si="48"/>
        <v>0</v>
      </c>
      <c r="Y141" s="422" t="b">
        <f t="shared" si="49"/>
        <v>1</v>
      </c>
      <c r="Z141" s="574">
        <f t="shared" si="50"/>
        <v>0</v>
      </c>
      <c r="AA141" s="710" t="e">
        <f t="shared" si="51"/>
        <v>#DIV/0!</v>
      </c>
    </row>
    <row r="142" spans="1:27" ht="18" hidden="1" customHeight="1" outlineLevel="1" x14ac:dyDescent="0.25">
      <c r="A142" s="479" t="s">
        <v>440</v>
      </c>
      <c r="B142" s="422" t="s">
        <v>441</v>
      </c>
      <c r="C142" s="445" t="s">
        <v>73</v>
      </c>
      <c r="D142" s="475" t="s">
        <v>41</v>
      </c>
      <c r="E142" s="475" t="s">
        <v>42</v>
      </c>
      <c r="F142" s="461">
        <f t="shared" ref="F142:F154" si="55">$F$16</f>
        <v>41.43</v>
      </c>
      <c r="G142" s="461">
        <v>0.82</v>
      </c>
      <c r="H142" s="461"/>
      <c r="I142" s="461"/>
      <c r="J142" s="461"/>
      <c r="K142" s="461"/>
      <c r="L142" s="725"/>
      <c r="M142" s="463">
        <f t="shared" ref="M142:M154" si="56">F142*G142</f>
        <v>33.97</v>
      </c>
      <c r="N142" s="463">
        <f t="shared" si="42"/>
        <v>3.4</v>
      </c>
      <c r="O142" s="463">
        <f t="shared" si="43"/>
        <v>8.93</v>
      </c>
      <c r="P142" s="463">
        <f t="shared" si="44"/>
        <v>101.57</v>
      </c>
      <c r="Q142" s="463">
        <f t="shared" si="45"/>
        <v>147.87</v>
      </c>
      <c r="R142" s="463">
        <f t="shared" si="46"/>
        <v>61.06</v>
      </c>
      <c r="S142" s="463">
        <f t="shared" si="47"/>
        <v>29.27</v>
      </c>
      <c r="T142" s="463">
        <f t="shared" ref="T142:T154" si="57">ROUND(Q142*1.298,1)</f>
        <v>191.9</v>
      </c>
      <c r="U142" s="472"/>
      <c r="V142" s="472"/>
      <c r="W142" s="472"/>
      <c r="X142" s="574">
        <f t="shared" si="48"/>
        <v>147.87</v>
      </c>
      <c r="Y142" s="422" t="b">
        <f t="shared" si="49"/>
        <v>1</v>
      </c>
      <c r="Z142" s="574">
        <f t="shared" si="50"/>
        <v>238.2</v>
      </c>
      <c r="AA142" s="710">
        <f t="shared" si="51"/>
        <v>0.41</v>
      </c>
    </row>
    <row r="143" spans="1:27" ht="18" hidden="1" customHeight="1" outlineLevel="1" x14ac:dyDescent="0.25">
      <c r="A143" s="479" t="s">
        <v>442</v>
      </c>
      <c r="B143" s="422" t="s">
        <v>443</v>
      </c>
      <c r="C143" s="445" t="s">
        <v>421</v>
      </c>
      <c r="D143" s="475" t="s">
        <v>41</v>
      </c>
      <c r="E143" s="475" t="s">
        <v>42</v>
      </c>
      <c r="F143" s="461">
        <f t="shared" si="55"/>
        <v>41.43</v>
      </c>
      <c r="G143" s="461">
        <v>0.25</v>
      </c>
      <c r="H143" s="461"/>
      <c r="I143" s="461"/>
      <c r="J143" s="461"/>
      <c r="K143" s="461"/>
      <c r="L143" s="725"/>
      <c r="M143" s="463">
        <f t="shared" si="56"/>
        <v>10.36</v>
      </c>
      <c r="N143" s="463">
        <f t="shared" si="42"/>
        <v>1.04</v>
      </c>
      <c r="O143" s="463">
        <f t="shared" si="43"/>
        <v>2.72</v>
      </c>
      <c r="P143" s="463">
        <f t="shared" si="44"/>
        <v>30.98</v>
      </c>
      <c r="Q143" s="463">
        <f t="shared" si="45"/>
        <v>45.1</v>
      </c>
      <c r="R143" s="463">
        <f t="shared" si="46"/>
        <v>18.600000000000001</v>
      </c>
      <c r="S143" s="463">
        <f t="shared" si="47"/>
        <v>8.92</v>
      </c>
      <c r="T143" s="463">
        <f t="shared" si="57"/>
        <v>58.5</v>
      </c>
      <c r="U143" s="472"/>
      <c r="V143" s="472"/>
      <c r="W143" s="472"/>
      <c r="X143" s="574">
        <f t="shared" si="48"/>
        <v>45.1</v>
      </c>
      <c r="Y143" s="422" t="b">
        <f t="shared" si="49"/>
        <v>1</v>
      </c>
      <c r="Z143" s="574">
        <f t="shared" si="50"/>
        <v>72.62</v>
      </c>
      <c r="AA143" s="710">
        <f t="shared" si="51"/>
        <v>0.41</v>
      </c>
    </row>
    <row r="144" spans="1:27" ht="18" hidden="1" customHeight="1" outlineLevel="1" x14ac:dyDescent="0.25">
      <c r="A144" s="479" t="s">
        <v>444</v>
      </c>
      <c r="B144" s="422" t="s">
        <v>445</v>
      </c>
      <c r="C144" s="445" t="s">
        <v>45</v>
      </c>
      <c r="D144" s="475" t="s">
        <v>41</v>
      </c>
      <c r="E144" s="475" t="s">
        <v>42</v>
      </c>
      <c r="F144" s="461">
        <f t="shared" si="55"/>
        <v>41.43</v>
      </c>
      <c r="G144" s="461">
        <v>0.17</v>
      </c>
      <c r="H144" s="461"/>
      <c r="I144" s="461"/>
      <c r="J144" s="461"/>
      <c r="K144" s="461"/>
      <c r="L144" s="725"/>
      <c r="M144" s="463">
        <f t="shared" si="56"/>
        <v>7.04</v>
      </c>
      <c r="N144" s="463">
        <f t="shared" si="42"/>
        <v>0.7</v>
      </c>
      <c r="O144" s="463">
        <f t="shared" si="43"/>
        <v>1.85</v>
      </c>
      <c r="P144" s="463">
        <f t="shared" si="44"/>
        <v>21.05</v>
      </c>
      <c r="Q144" s="463">
        <f t="shared" si="45"/>
        <v>30.64</v>
      </c>
      <c r="R144" s="463">
        <f t="shared" si="46"/>
        <v>12.68</v>
      </c>
      <c r="S144" s="463">
        <f t="shared" si="47"/>
        <v>6.07</v>
      </c>
      <c r="T144" s="463">
        <f t="shared" si="57"/>
        <v>39.799999999999997</v>
      </c>
      <c r="U144" s="472"/>
      <c r="V144" s="472"/>
      <c r="W144" s="472"/>
      <c r="X144" s="574">
        <f t="shared" si="48"/>
        <v>30.64</v>
      </c>
      <c r="Y144" s="422" t="b">
        <f t="shared" si="49"/>
        <v>1</v>
      </c>
      <c r="Z144" s="574">
        <f t="shared" si="50"/>
        <v>49.39</v>
      </c>
      <c r="AA144" s="710">
        <f t="shared" si="51"/>
        <v>0.41</v>
      </c>
    </row>
    <row r="145" spans="1:27" ht="17.25" hidden="1" customHeight="1" outlineLevel="1" x14ac:dyDescent="0.25">
      <c r="A145" s="479" t="s">
        <v>446</v>
      </c>
      <c r="B145" s="422" t="s">
        <v>447</v>
      </c>
      <c r="C145" s="445" t="s">
        <v>45</v>
      </c>
      <c r="D145" s="475" t="s">
        <v>41</v>
      </c>
      <c r="E145" s="475" t="s">
        <v>42</v>
      </c>
      <c r="F145" s="461">
        <f t="shared" si="55"/>
        <v>41.43</v>
      </c>
      <c r="G145" s="461">
        <v>0.5</v>
      </c>
      <c r="H145" s="461"/>
      <c r="I145" s="461"/>
      <c r="J145" s="461"/>
      <c r="K145" s="461"/>
      <c r="L145" s="725"/>
      <c r="M145" s="463">
        <f t="shared" si="56"/>
        <v>20.72</v>
      </c>
      <c r="N145" s="463">
        <f t="shared" si="42"/>
        <v>2.0699999999999998</v>
      </c>
      <c r="O145" s="463">
        <f t="shared" si="43"/>
        <v>5.45</v>
      </c>
      <c r="P145" s="463">
        <f t="shared" si="44"/>
        <v>61.95</v>
      </c>
      <c r="Q145" s="463">
        <f t="shared" si="45"/>
        <v>90.19</v>
      </c>
      <c r="R145" s="463">
        <f t="shared" si="46"/>
        <v>37.29</v>
      </c>
      <c r="S145" s="463">
        <f t="shared" si="47"/>
        <v>17.86</v>
      </c>
      <c r="T145" s="463">
        <f t="shared" si="57"/>
        <v>117.1</v>
      </c>
      <c r="U145" s="472"/>
      <c r="V145" s="472"/>
      <c r="W145" s="472"/>
      <c r="X145" s="574">
        <f t="shared" si="48"/>
        <v>90.19</v>
      </c>
      <c r="Y145" s="422" t="b">
        <f t="shared" si="49"/>
        <v>1</v>
      </c>
      <c r="Z145" s="574">
        <f t="shared" si="50"/>
        <v>145.34</v>
      </c>
      <c r="AA145" s="710">
        <f t="shared" si="51"/>
        <v>0.41</v>
      </c>
    </row>
    <row r="146" spans="1:27" ht="17.25" hidden="1" customHeight="1" outlineLevel="1" x14ac:dyDescent="0.25">
      <c r="A146" s="479" t="s">
        <v>448</v>
      </c>
      <c r="B146" s="422" t="s">
        <v>449</v>
      </c>
      <c r="C146" s="445" t="s">
        <v>421</v>
      </c>
      <c r="D146" s="475" t="s">
        <v>41</v>
      </c>
      <c r="E146" s="475" t="s">
        <v>42</v>
      </c>
      <c r="F146" s="461">
        <f t="shared" si="55"/>
        <v>41.43</v>
      </c>
      <c r="G146" s="461">
        <v>0.25</v>
      </c>
      <c r="H146" s="461"/>
      <c r="I146" s="461"/>
      <c r="J146" s="461"/>
      <c r="K146" s="461"/>
      <c r="L146" s="725"/>
      <c r="M146" s="463">
        <f t="shared" si="56"/>
        <v>10.36</v>
      </c>
      <c r="N146" s="463">
        <f t="shared" si="42"/>
        <v>1.04</v>
      </c>
      <c r="O146" s="463">
        <f t="shared" si="43"/>
        <v>2.72</v>
      </c>
      <c r="P146" s="463">
        <f t="shared" si="44"/>
        <v>30.98</v>
      </c>
      <c r="Q146" s="463">
        <f t="shared" si="45"/>
        <v>45.1</v>
      </c>
      <c r="R146" s="463">
        <f t="shared" si="46"/>
        <v>18.600000000000001</v>
      </c>
      <c r="S146" s="463">
        <f t="shared" si="47"/>
        <v>8.92</v>
      </c>
      <c r="T146" s="463">
        <f t="shared" si="57"/>
        <v>58.5</v>
      </c>
      <c r="U146" s="472"/>
      <c r="V146" s="472"/>
      <c r="W146" s="472"/>
      <c r="X146" s="574">
        <f t="shared" si="48"/>
        <v>45.1</v>
      </c>
      <c r="Y146" s="422" t="b">
        <f t="shared" si="49"/>
        <v>1</v>
      </c>
      <c r="Z146" s="574">
        <f t="shared" si="50"/>
        <v>72.62</v>
      </c>
      <c r="AA146" s="710">
        <f t="shared" si="51"/>
        <v>0.41</v>
      </c>
    </row>
    <row r="147" spans="1:27" ht="17.25" hidden="1" customHeight="1" outlineLevel="1" x14ac:dyDescent="0.25">
      <c r="A147" s="479" t="s">
        <v>450</v>
      </c>
      <c r="B147" s="422" t="s">
        <v>451</v>
      </c>
      <c r="C147" s="445" t="s">
        <v>45</v>
      </c>
      <c r="D147" s="475" t="s">
        <v>41</v>
      </c>
      <c r="E147" s="475" t="s">
        <v>42</v>
      </c>
      <c r="F147" s="461">
        <f t="shared" si="55"/>
        <v>41.43</v>
      </c>
      <c r="G147" s="461">
        <v>0.25</v>
      </c>
      <c r="H147" s="461"/>
      <c r="I147" s="461"/>
      <c r="J147" s="461"/>
      <c r="K147" s="461"/>
      <c r="L147" s="725"/>
      <c r="M147" s="463">
        <f t="shared" si="56"/>
        <v>10.36</v>
      </c>
      <c r="N147" s="463">
        <f t="shared" si="42"/>
        <v>1.04</v>
      </c>
      <c r="O147" s="463">
        <f t="shared" si="43"/>
        <v>2.72</v>
      </c>
      <c r="P147" s="463">
        <f t="shared" si="44"/>
        <v>30.98</v>
      </c>
      <c r="Q147" s="463">
        <f t="shared" si="45"/>
        <v>45.1</v>
      </c>
      <c r="R147" s="463">
        <f t="shared" si="46"/>
        <v>18.600000000000001</v>
      </c>
      <c r="S147" s="463">
        <f t="shared" si="47"/>
        <v>8.92</v>
      </c>
      <c r="T147" s="463">
        <f t="shared" si="57"/>
        <v>58.5</v>
      </c>
      <c r="U147" s="472"/>
      <c r="V147" s="472"/>
      <c r="W147" s="472"/>
      <c r="X147" s="574">
        <f t="shared" si="48"/>
        <v>45.1</v>
      </c>
      <c r="Y147" s="422" t="b">
        <f t="shared" si="49"/>
        <v>1</v>
      </c>
      <c r="Z147" s="574">
        <f t="shared" si="50"/>
        <v>72.62</v>
      </c>
      <c r="AA147" s="710">
        <f t="shared" si="51"/>
        <v>0.41</v>
      </c>
    </row>
    <row r="148" spans="1:27" ht="17.25" hidden="1" customHeight="1" outlineLevel="1" x14ac:dyDescent="0.25">
      <c r="A148" s="479" t="s">
        <v>452</v>
      </c>
      <c r="B148" s="422" t="s">
        <v>453</v>
      </c>
      <c r="C148" s="445" t="s">
        <v>45</v>
      </c>
      <c r="D148" s="475" t="s">
        <v>41</v>
      </c>
      <c r="E148" s="475" t="s">
        <v>42</v>
      </c>
      <c r="F148" s="461">
        <f t="shared" si="55"/>
        <v>41.43</v>
      </c>
      <c r="G148" s="461">
        <v>1</v>
      </c>
      <c r="H148" s="461"/>
      <c r="I148" s="461"/>
      <c r="J148" s="461"/>
      <c r="K148" s="461"/>
      <c r="L148" s="725"/>
      <c r="M148" s="463">
        <f t="shared" si="56"/>
        <v>41.43</v>
      </c>
      <c r="N148" s="463">
        <f t="shared" si="42"/>
        <v>4.1399999999999997</v>
      </c>
      <c r="O148" s="463">
        <f t="shared" si="43"/>
        <v>10.9</v>
      </c>
      <c r="P148" s="463">
        <f t="shared" si="44"/>
        <v>123.88</v>
      </c>
      <c r="Q148" s="463">
        <f t="shared" si="45"/>
        <v>180.35</v>
      </c>
      <c r="R148" s="463">
        <f t="shared" si="46"/>
        <v>74.510000000000005</v>
      </c>
      <c r="S148" s="463">
        <f t="shared" si="47"/>
        <v>35.71</v>
      </c>
      <c r="T148" s="463">
        <f t="shared" si="57"/>
        <v>234.1</v>
      </c>
      <c r="U148" s="472"/>
      <c r="V148" s="472"/>
      <c r="W148" s="472"/>
      <c r="X148" s="574">
        <f t="shared" si="48"/>
        <v>180.35</v>
      </c>
      <c r="Y148" s="422" t="b">
        <f t="shared" si="49"/>
        <v>1</v>
      </c>
      <c r="Z148" s="574">
        <f t="shared" si="50"/>
        <v>290.57</v>
      </c>
      <c r="AA148" s="710">
        <f t="shared" si="51"/>
        <v>0.41</v>
      </c>
    </row>
    <row r="149" spans="1:27" ht="17.25" hidden="1" customHeight="1" outlineLevel="1" x14ac:dyDescent="0.25">
      <c r="A149" s="479" t="s">
        <v>454</v>
      </c>
      <c r="B149" s="422" t="s">
        <v>455</v>
      </c>
      <c r="C149" s="445" t="s">
        <v>45</v>
      </c>
      <c r="D149" s="475" t="s">
        <v>41</v>
      </c>
      <c r="E149" s="475" t="s">
        <v>42</v>
      </c>
      <c r="F149" s="461">
        <f t="shared" si="55"/>
        <v>41.43</v>
      </c>
      <c r="G149" s="461">
        <v>0.5</v>
      </c>
      <c r="H149" s="461"/>
      <c r="I149" s="461"/>
      <c r="J149" s="461"/>
      <c r="K149" s="461"/>
      <c r="L149" s="725"/>
      <c r="M149" s="463">
        <f t="shared" si="56"/>
        <v>20.72</v>
      </c>
      <c r="N149" s="463">
        <f t="shared" si="42"/>
        <v>2.0699999999999998</v>
      </c>
      <c r="O149" s="463">
        <f t="shared" si="43"/>
        <v>5.45</v>
      </c>
      <c r="P149" s="463">
        <f t="shared" si="44"/>
        <v>61.95</v>
      </c>
      <c r="Q149" s="463">
        <f t="shared" si="45"/>
        <v>90.19</v>
      </c>
      <c r="R149" s="463">
        <f t="shared" si="46"/>
        <v>37.29</v>
      </c>
      <c r="S149" s="463">
        <f t="shared" si="47"/>
        <v>17.86</v>
      </c>
      <c r="T149" s="463">
        <f t="shared" si="57"/>
        <v>117.1</v>
      </c>
      <c r="U149" s="472"/>
      <c r="V149" s="472"/>
      <c r="W149" s="472"/>
      <c r="X149" s="574">
        <f t="shared" si="48"/>
        <v>90.19</v>
      </c>
      <c r="Y149" s="422" t="b">
        <f t="shared" si="49"/>
        <v>1</v>
      </c>
      <c r="Z149" s="574">
        <f t="shared" si="50"/>
        <v>145.34</v>
      </c>
      <c r="AA149" s="710">
        <f t="shared" si="51"/>
        <v>0.41</v>
      </c>
    </row>
    <row r="150" spans="1:27" ht="17.25" hidden="1" customHeight="1" outlineLevel="1" x14ac:dyDescent="0.25">
      <c r="A150" s="479" t="s">
        <v>456</v>
      </c>
      <c r="B150" s="422" t="s">
        <v>457</v>
      </c>
      <c r="C150" s="445" t="s">
        <v>45</v>
      </c>
      <c r="D150" s="475" t="s">
        <v>41</v>
      </c>
      <c r="E150" s="475" t="s">
        <v>42</v>
      </c>
      <c r="F150" s="461">
        <f t="shared" si="55"/>
        <v>41.43</v>
      </c>
      <c r="G150" s="461">
        <v>0.5</v>
      </c>
      <c r="H150" s="461"/>
      <c r="I150" s="461"/>
      <c r="J150" s="461"/>
      <c r="K150" s="461"/>
      <c r="L150" s="725"/>
      <c r="M150" s="463">
        <f t="shared" si="56"/>
        <v>20.72</v>
      </c>
      <c r="N150" s="463">
        <f t="shared" si="42"/>
        <v>2.0699999999999998</v>
      </c>
      <c r="O150" s="463">
        <f t="shared" si="43"/>
        <v>5.45</v>
      </c>
      <c r="P150" s="463">
        <f t="shared" si="44"/>
        <v>61.95</v>
      </c>
      <c r="Q150" s="463">
        <f t="shared" si="45"/>
        <v>90.19</v>
      </c>
      <c r="R150" s="463">
        <f t="shared" si="46"/>
        <v>37.29</v>
      </c>
      <c r="S150" s="463">
        <f t="shared" si="47"/>
        <v>17.86</v>
      </c>
      <c r="T150" s="463">
        <f t="shared" si="57"/>
        <v>117.1</v>
      </c>
      <c r="U150" s="472"/>
      <c r="V150" s="472"/>
      <c r="W150" s="472"/>
      <c r="X150" s="574">
        <f t="shared" si="48"/>
        <v>90.19</v>
      </c>
      <c r="Y150" s="422" t="b">
        <f t="shared" si="49"/>
        <v>1</v>
      </c>
      <c r="Z150" s="574">
        <f t="shared" si="50"/>
        <v>145.34</v>
      </c>
      <c r="AA150" s="710">
        <f t="shared" si="51"/>
        <v>0.41</v>
      </c>
    </row>
    <row r="151" spans="1:27" ht="17.25" hidden="1" customHeight="1" outlineLevel="1" x14ac:dyDescent="0.25">
      <c r="A151" s="479" t="s">
        <v>458</v>
      </c>
      <c r="B151" s="422" t="s">
        <v>459</v>
      </c>
      <c r="C151" s="445" t="s">
        <v>45</v>
      </c>
      <c r="D151" s="475" t="s">
        <v>41</v>
      </c>
      <c r="E151" s="475" t="s">
        <v>42</v>
      </c>
      <c r="F151" s="461">
        <f t="shared" si="55"/>
        <v>41.43</v>
      </c>
      <c r="G151" s="461">
        <v>0.1</v>
      </c>
      <c r="H151" s="461"/>
      <c r="I151" s="461"/>
      <c r="J151" s="461"/>
      <c r="K151" s="461"/>
      <c r="L151" s="725"/>
      <c r="M151" s="463">
        <f t="shared" si="56"/>
        <v>4.1399999999999997</v>
      </c>
      <c r="N151" s="463">
        <f t="shared" si="42"/>
        <v>0.41</v>
      </c>
      <c r="O151" s="463">
        <f t="shared" si="43"/>
        <v>1.0900000000000001</v>
      </c>
      <c r="P151" s="463">
        <f t="shared" si="44"/>
        <v>12.38</v>
      </c>
      <c r="Q151" s="463">
        <f t="shared" si="45"/>
        <v>18.02</v>
      </c>
      <c r="R151" s="463">
        <f t="shared" si="46"/>
        <v>7.45</v>
      </c>
      <c r="S151" s="463">
        <f t="shared" si="47"/>
        <v>3.57</v>
      </c>
      <c r="T151" s="463">
        <f t="shared" si="57"/>
        <v>23.4</v>
      </c>
      <c r="U151" s="472"/>
      <c r="V151" s="472"/>
      <c r="W151" s="472"/>
      <c r="X151" s="574">
        <f t="shared" si="48"/>
        <v>18.02</v>
      </c>
      <c r="Y151" s="422" t="b">
        <f t="shared" si="49"/>
        <v>1</v>
      </c>
      <c r="Z151" s="574">
        <f t="shared" si="50"/>
        <v>29.04</v>
      </c>
      <c r="AA151" s="710">
        <f t="shared" si="51"/>
        <v>0.41</v>
      </c>
    </row>
    <row r="152" spans="1:27" ht="17.25" hidden="1" customHeight="1" outlineLevel="1" x14ac:dyDescent="0.25">
      <c r="A152" s="479" t="s">
        <v>460</v>
      </c>
      <c r="B152" s="422" t="s">
        <v>461</v>
      </c>
      <c r="C152" s="445" t="s">
        <v>45</v>
      </c>
      <c r="D152" s="475" t="s">
        <v>41</v>
      </c>
      <c r="E152" s="475" t="s">
        <v>42</v>
      </c>
      <c r="F152" s="461">
        <f t="shared" si="55"/>
        <v>41.43</v>
      </c>
      <c r="G152" s="461">
        <v>0.7</v>
      </c>
      <c r="H152" s="461"/>
      <c r="I152" s="461"/>
      <c r="J152" s="461"/>
      <c r="K152" s="461"/>
      <c r="L152" s="725"/>
      <c r="M152" s="463">
        <f t="shared" si="56"/>
        <v>29</v>
      </c>
      <c r="N152" s="463">
        <f t="shared" si="42"/>
        <v>2.9</v>
      </c>
      <c r="O152" s="463">
        <f t="shared" si="43"/>
        <v>7.63</v>
      </c>
      <c r="P152" s="463">
        <f t="shared" si="44"/>
        <v>86.71</v>
      </c>
      <c r="Q152" s="463">
        <f t="shared" si="45"/>
        <v>126.24</v>
      </c>
      <c r="R152" s="463">
        <f t="shared" si="46"/>
        <v>52.19</v>
      </c>
      <c r="S152" s="463">
        <f t="shared" si="47"/>
        <v>25</v>
      </c>
      <c r="T152" s="463">
        <f t="shared" si="57"/>
        <v>163.9</v>
      </c>
      <c r="U152" s="472"/>
      <c r="V152" s="472"/>
      <c r="W152" s="472"/>
      <c r="X152" s="574">
        <f t="shared" si="48"/>
        <v>126.24</v>
      </c>
      <c r="Y152" s="422" t="b">
        <f t="shared" si="49"/>
        <v>1</v>
      </c>
      <c r="Z152" s="574">
        <f t="shared" si="50"/>
        <v>203.43</v>
      </c>
      <c r="AA152" s="710">
        <f t="shared" si="51"/>
        <v>0.41</v>
      </c>
    </row>
    <row r="153" spans="1:27" ht="17.25" hidden="1" customHeight="1" outlineLevel="1" x14ac:dyDescent="0.25">
      <c r="A153" s="479" t="s">
        <v>462</v>
      </c>
      <c r="B153" s="422" t="s">
        <v>463</v>
      </c>
      <c r="C153" s="445" t="s">
        <v>464</v>
      </c>
      <c r="D153" s="475" t="s">
        <v>41</v>
      </c>
      <c r="E153" s="475" t="s">
        <v>42</v>
      </c>
      <c r="F153" s="461">
        <f t="shared" si="55"/>
        <v>41.43</v>
      </c>
      <c r="G153" s="461">
        <v>0.5</v>
      </c>
      <c r="H153" s="461"/>
      <c r="I153" s="461"/>
      <c r="J153" s="461"/>
      <c r="K153" s="461"/>
      <c r="L153" s="725"/>
      <c r="M153" s="463">
        <f t="shared" si="56"/>
        <v>20.72</v>
      </c>
      <c r="N153" s="463">
        <f t="shared" si="42"/>
        <v>2.0699999999999998</v>
      </c>
      <c r="O153" s="463">
        <f t="shared" si="43"/>
        <v>5.45</v>
      </c>
      <c r="P153" s="463">
        <f t="shared" si="44"/>
        <v>61.95</v>
      </c>
      <c r="Q153" s="463">
        <f t="shared" si="45"/>
        <v>90.19</v>
      </c>
      <c r="R153" s="463">
        <f t="shared" si="46"/>
        <v>37.29</v>
      </c>
      <c r="S153" s="463">
        <f t="shared" si="47"/>
        <v>17.86</v>
      </c>
      <c r="T153" s="463">
        <f t="shared" si="57"/>
        <v>117.1</v>
      </c>
      <c r="U153" s="472"/>
      <c r="V153" s="472"/>
      <c r="W153" s="472"/>
      <c r="X153" s="574">
        <f t="shared" si="48"/>
        <v>90.19</v>
      </c>
      <c r="Y153" s="422" t="b">
        <f t="shared" si="49"/>
        <v>1</v>
      </c>
      <c r="Z153" s="574">
        <f t="shared" si="50"/>
        <v>145.34</v>
      </c>
      <c r="AA153" s="710">
        <f t="shared" si="51"/>
        <v>0.41</v>
      </c>
    </row>
    <row r="154" spans="1:27" ht="17.25" hidden="1" customHeight="1" outlineLevel="1" x14ac:dyDescent="0.25">
      <c r="A154" s="479" t="s">
        <v>465</v>
      </c>
      <c r="B154" s="422" t="s">
        <v>466</v>
      </c>
      <c r="C154" s="445" t="s">
        <v>467</v>
      </c>
      <c r="D154" s="475" t="s">
        <v>41</v>
      </c>
      <c r="E154" s="475" t="s">
        <v>42</v>
      </c>
      <c r="F154" s="461">
        <f t="shared" si="55"/>
        <v>41.43</v>
      </c>
      <c r="G154" s="461">
        <v>0.5</v>
      </c>
      <c r="H154" s="461"/>
      <c r="I154" s="461"/>
      <c r="J154" s="461"/>
      <c r="K154" s="461"/>
      <c r="L154" s="725"/>
      <c r="M154" s="463">
        <f t="shared" si="56"/>
        <v>20.72</v>
      </c>
      <c r="N154" s="463">
        <f t="shared" si="42"/>
        <v>2.0699999999999998</v>
      </c>
      <c r="O154" s="463">
        <f t="shared" si="43"/>
        <v>5.45</v>
      </c>
      <c r="P154" s="463">
        <f t="shared" si="44"/>
        <v>61.95</v>
      </c>
      <c r="Q154" s="463">
        <f t="shared" si="45"/>
        <v>90.19</v>
      </c>
      <c r="R154" s="463">
        <f t="shared" si="46"/>
        <v>37.29</v>
      </c>
      <c r="S154" s="463">
        <f t="shared" si="47"/>
        <v>17.86</v>
      </c>
      <c r="T154" s="463">
        <f t="shared" si="57"/>
        <v>117.1</v>
      </c>
      <c r="U154" s="472"/>
      <c r="V154" s="472"/>
      <c r="W154" s="472"/>
      <c r="X154" s="574">
        <f t="shared" si="48"/>
        <v>90.19</v>
      </c>
      <c r="Y154" s="422" t="b">
        <f t="shared" si="49"/>
        <v>1</v>
      </c>
      <c r="Z154" s="574">
        <f t="shared" si="50"/>
        <v>145.34</v>
      </c>
      <c r="AA154" s="710">
        <f t="shared" si="51"/>
        <v>0.41</v>
      </c>
    </row>
    <row r="155" spans="1:27" ht="17.25" hidden="1" customHeight="1" outlineLevel="1" x14ac:dyDescent="0.25">
      <c r="A155" s="774" t="s">
        <v>468</v>
      </c>
      <c r="B155" s="422" t="s">
        <v>469</v>
      </c>
      <c r="C155" s="445"/>
      <c r="D155" s="475"/>
      <c r="E155" s="475"/>
      <c r="F155" s="461"/>
      <c r="G155" s="461"/>
      <c r="H155" s="461"/>
      <c r="I155" s="461"/>
      <c r="J155" s="461"/>
      <c r="K155" s="461"/>
      <c r="L155" s="725"/>
      <c r="M155" s="463"/>
      <c r="N155" s="463">
        <f t="shared" si="42"/>
        <v>0</v>
      </c>
      <c r="O155" s="463">
        <f t="shared" si="43"/>
        <v>0</v>
      </c>
      <c r="P155" s="463">
        <f t="shared" si="44"/>
        <v>0</v>
      </c>
      <c r="Q155" s="463">
        <f t="shared" si="45"/>
        <v>0</v>
      </c>
      <c r="R155" s="463">
        <f t="shared" si="46"/>
        <v>0</v>
      </c>
      <c r="S155" s="463">
        <f t="shared" si="47"/>
        <v>0</v>
      </c>
      <c r="T155" s="773"/>
      <c r="U155" s="472"/>
      <c r="V155" s="472"/>
      <c r="W155" s="472"/>
      <c r="X155" s="574">
        <f t="shared" si="48"/>
        <v>0</v>
      </c>
      <c r="Y155" s="422" t="b">
        <f t="shared" si="49"/>
        <v>1</v>
      </c>
      <c r="Z155" s="574">
        <f t="shared" si="50"/>
        <v>0</v>
      </c>
      <c r="AA155" s="710" t="e">
        <f t="shared" si="51"/>
        <v>#DIV/0!</v>
      </c>
    </row>
    <row r="156" spans="1:27" ht="17.25" hidden="1" customHeight="1" outlineLevel="1" x14ac:dyDescent="0.25">
      <c r="A156" s="774"/>
      <c r="B156" s="495" t="s">
        <v>470</v>
      </c>
      <c r="C156" s="445" t="s">
        <v>436</v>
      </c>
      <c r="D156" s="475" t="s">
        <v>41</v>
      </c>
      <c r="E156" s="475" t="s">
        <v>42</v>
      </c>
      <c r="F156" s="461">
        <f t="shared" ref="F156:F172" si="58">$F$16</f>
        <v>41.43</v>
      </c>
      <c r="G156" s="461">
        <v>0.25</v>
      </c>
      <c r="H156" s="461"/>
      <c r="I156" s="461"/>
      <c r="J156" s="461"/>
      <c r="K156" s="461"/>
      <c r="L156" s="725"/>
      <c r="M156" s="463">
        <f t="shared" ref="M156:M173" si="59">F156*G156</f>
        <v>10.36</v>
      </c>
      <c r="N156" s="463">
        <f t="shared" si="42"/>
        <v>1.04</v>
      </c>
      <c r="O156" s="463">
        <f t="shared" si="43"/>
        <v>2.72</v>
      </c>
      <c r="P156" s="463">
        <f t="shared" si="44"/>
        <v>30.98</v>
      </c>
      <c r="Q156" s="463">
        <f t="shared" si="45"/>
        <v>45.1</v>
      </c>
      <c r="R156" s="463">
        <f t="shared" si="46"/>
        <v>18.600000000000001</v>
      </c>
      <c r="S156" s="463">
        <f t="shared" si="47"/>
        <v>8.92</v>
      </c>
      <c r="T156" s="463">
        <f t="shared" ref="T156:T173" si="60">ROUND(Q156*1.298,1)</f>
        <v>58.5</v>
      </c>
      <c r="U156" s="472"/>
      <c r="V156" s="472"/>
      <c r="W156" s="472"/>
      <c r="X156" s="574">
        <f t="shared" si="48"/>
        <v>45.1</v>
      </c>
      <c r="Y156" s="422" t="b">
        <f t="shared" si="49"/>
        <v>1</v>
      </c>
      <c r="Z156" s="574">
        <f t="shared" si="50"/>
        <v>72.62</v>
      </c>
      <c r="AA156" s="710">
        <f t="shared" si="51"/>
        <v>0.41</v>
      </c>
    </row>
    <row r="157" spans="1:27" ht="17.25" hidden="1" customHeight="1" outlineLevel="1" x14ac:dyDescent="0.25">
      <c r="A157" s="774" t="s">
        <v>471</v>
      </c>
      <c r="B157" s="422" t="s">
        <v>472</v>
      </c>
      <c r="C157" s="445" t="s">
        <v>45</v>
      </c>
      <c r="D157" s="475" t="s">
        <v>41</v>
      </c>
      <c r="E157" s="475" t="s">
        <v>42</v>
      </c>
      <c r="F157" s="461">
        <f t="shared" si="58"/>
        <v>41.43</v>
      </c>
      <c r="G157" s="461">
        <v>0.5</v>
      </c>
      <c r="H157" s="461"/>
      <c r="I157" s="461"/>
      <c r="J157" s="461"/>
      <c r="K157" s="461"/>
      <c r="L157" s="725"/>
      <c r="M157" s="463">
        <f t="shared" si="59"/>
        <v>20.72</v>
      </c>
      <c r="N157" s="463">
        <f t="shared" si="42"/>
        <v>2.0699999999999998</v>
      </c>
      <c r="O157" s="463">
        <f t="shared" si="43"/>
        <v>5.45</v>
      </c>
      <c r="P157" s="463">
        <f t="shared" si="44"/>
        <v>61.95</v>
      </c>
      <c r="Q157" s="463">
        <f t="shared" si="45"/>
        <v>90.19</v>
      </c>
      <c r="R157" s="463">
        <f t="shared" si="46"/>
        <v>37.29</v>
      </c>
      <c r="S157" s="463">
        <f t="shared" si="47"/>
        <v>17.86</v>
      </c>
      <c r="T157" s="463">
        <f t="shared" si="60"/>
        <v>117.1</v>
      </c>
      <c r="U157" s="472"/>
      <c r="V157" s="472"/>
      <c r="W157" s="472"/>
      <c r="X157" s="574">
        <f t="shared" si="48"/>
        <v>90.19</v>
      </c>
      <c r="Y157" s="422" t="b">
        <f t="shared" si="49"/>
        <v>1</v>
      </c>
      <c r="Z157" s="574">
        <f t="shared" si="50"/>
        <v>145.34</v>
      </c>
      <c r="AA157" s="710">
        <f t="shared" si="51"/>
        <v>0.41</v>
      </c>
    </row>
    <row r="158" spans="1:27" ht="17.25" hidden="1" customHeight="1" outlineLevel="1" x14ac:dyDescent="0.25">
      <c r="A158" s="774" t="s">
        <v>473</v>
      </c>
      <c r="B158" s="422" t="s">
        <v>474</v>
      </c>
      <c r="C158" s="445" t="s">
        <v>403</v>
      </c>
      <c r="D158" s="475" t="s">
        <v>41</v>
      </c>
      <c r="E158" s="475" t="s">
        <v>42</v>
      </c>
      <c r="F158" s="461">
        <f t="shared" si="58"/>
        <v>41.43</v>
      </c>
      <c r="G158" s="461">
        <v>0.3</v>
      </c>
      <c r="H158" s="461"/>
      <c r="I158" s="461"/>
      <c r="J158" s="461"/>
      <c r="K158" s="461"/>
      <c r="L158" s="725"/>
      <c r="M158" s="463">
        <f t="shared" si="59"/>
        <v>12.43</v>
      </c>
      <c r="N158" s="463">
        <f t="shared" si="42"/>
        <v>1.24</v>
      </c>
      <c r="O158" s="463">
        <f t="shared" si="43"/>
        <v>3.27</v>
      </c>
      <c r="P158" s="463">
        <f t="shared" si="44"/>
        <v>37.17</v>
      </c>
      <c r="Q158" s="463">
        <f t="shared" si="45"/>
        <v>54.11</v>
      </c>
      <c r="R158" s="463">
        <f t="shared" si="46"/>
        <v>22.32</v>
      </c>
      <c r="S158" s="463">
        <f t="shared" si="47"/>
        <v>10.71</v>
      </c>
      <c r="T158" s="463">
        <f t="shared" si="60"/>
        <v>70.2</v>
      </c>
      <c r="U158" s="472"/>
      <c r="V158" s="472"/>
      <c r="W158" s="472"/>
      <c r="X158" s="574">
        <f t="shared" si="48"/>
        <v>54.11</v>
      </c>
      <c r="Y158" s="422" t="b">
        <f t="shared" si="49"/>
        <v>1</v>
      </c>
      <c r="Z158" s="574">
        <f t="shared" si="50"/>
        <v>87.14</v>
      </c>
      <c r="AA158" s="710">
        <f t="shared" si="51"/>
        <v>0.41</v>
      </c>
    </row>
    <row r="159" spans="1:27" ht="17.25" hidden="1" customHeight="1" outlineLevel="1" x14ac:dyDescent="0.25">
      <c r="A159" s="479" t="s">
        <v>475</v>
      </c>
      <c r="B159" s="422" t="s">
        <v>476</v>
      </c>
      <c r="C159" s="445" t="s">
        <v>436</v>
      </c>
      <c r="D159" s="475" t="s">
        <v>41</v>
      </c>
      <c r="E159" s="475" t="s">
        <v>42</v>
      </c>
      <c r="F159" s="461">
        <f t="shared" si="58"/>
        <v>41.43</v>
      </c>
      <c r="G159" s="461">
        <v>0.33</v>
      </c>
      <c r="H159" s="461"/>
      <c r="I159" s="461"/>
      <c r="J159" s="461"/>
      <c r="K159" s="461"/>
      <c r="L159" s="725"/>
      <c r="M159" s="463">
        <f t="shared" si="59"/>
        <v>13.67</v>
      </c>
      <c r="N159" s="463">
        <f t="shared" si="42"/>
        <v>1.37</v>
      </c>
      <c r="O159" s="463">
        <f t="shared" si="43"/>
        <v>3.6</v>
      </c>
      <c r="P159" s="463">
        <f t="shared" si="44"/>
        <v>40.869999999999997</v>
      </c>
      <c r="Q159" s="463">
        <f t="shared" si="45"/>
        <v>59.51</v>
      </c>
      <c r="R159" s="463">
        <f t="shared" si="46"/>
        <v>24.55</v>
      </c>
      <c r="S159" s="463">
        <f t="shared" si="47"/>
        <v>11.78</v>
      </c>
      <c r="T159" s="463">
        <f t="shared" si="60"/>
        <v>77.2</v>
      </c>
      <c r="U159" s="472"/>
      <c r="V159" s="472"/>
      <c r="W159" s="472"/>
      <c r="X159" s="574">
        <f t="shared" si="48"/>
        <v>59.51</v>
      </c>
      <c r="Y159" s="422" t="b">
        <f t="shared" si="49"/>
        <v>1</v>
      </c>
      <c r="Z159" s="574">
        <f t="shared" si="50"/>
        <v>95.84</v>
      </c>
      <c r="AA159" s="710">
        <f t="shared" si="51"/>
        <v>0.41</v>
      </c>
    </row>
    <row r="160" spans="1:27" ht="17.25" hidden="1" customHeight="1" outlineLevel="1" x14ac:dyDescent="0.25">
      <c r="A160" s="479" t="s">
        <v>477</v>
      </c>
      <c r="B160" s="422" t="s">
        <v>478</v>
      </c>
      <c r="C160" s="445" t="s">
        <v>479</v>
      </c>
      <c r="D160" s="475" t="s">
        <v>41</v>
      </c>
      <c r="E160" s="475" t="s">
        <v>42</v>
      </c>
      <c r="F160" s="461">
        <f t="shared" si="58"/>
        <v>41.43</v>
      </c>
      <c r="G160" s="461">
        <v>0.67</v>
      </c>
      <c r="H160" s="461"/>
      <c r="I160" s="461"/>
      <c r="J160" s="461"/>
      <c r="K160" s="461"/>
      <c r="L160" s="725"/>
      <c r="M160" s="463">
        <f t="shared" si="59"/>
        <v>27.76</v>
      </c>
      <c r="N160" s="463">
        <f t="shared" si="42"/>
        <v>2.78</v>
      </c>
      <c r="O160" s="463">
        <f t="shared" si="43"/>
        <v>7.3</v>
      </c>
      <c r="P160" s="463">
        <f t="shared" si="44"/>
        <v>83</v>
      </c>
      <c r="Q160" s="463">
        <f t="shared" si="45"/>
        <v>120.84</v>
      </c>
      <c r="R160" s="463">
        <f t="shared" si="46"/>
        <v>49.97</v>
      </c>
      <c r="S160" s="463">
        <f t="shared" si="47"/>
        <v>23.93</v>
      </c>
      <c r="T160" s="463">
        <f t="shared" si="60"/>
        <v>156.9</v>
      </c>
      <c r="U160" s="472"/>
      <c r="V160" s="472"/>
      <c r="W160" s="472"/>
      <c r="X160" s="574">
        <f t="shared" si="48"/>
        <v>120.84</v>
      </c>
      <c r="Y160" s="422" t="b">
        <f t="shared" si="49"/>
        <v>1</v>
      </c>
      <c r="Z160" s="574">
        <f t="shared" si="50"/>
        <v>194.74</v>
      </c>
      <c r="AA160" s="710">
        <f t="shared" si="51"/>
        <v>0.41</v>
      </c>
    </row>
    <row r="161" spans="1:27" ht="17.25" hidden="1" customHeight="1" outlineLevel="1" x14ac:dyDescent="0.25">
      <c r="A161" s="479" t="s">
        <v>480</v>
      </c>
      <c r="B161" s="422" t="s">
        <v>481</v>
      </c>
      <c r="C161" s="445" t="s">
        <v>482</v>
      </c>
      <c r="D161" s="475" t="s">
        <v>41</v>
      </c>
      <c r="E161" s="475" t="s">
        <v>42</v>
      </c>
      <c r="F161" s="461">
        <f t="shared" si="58"/>
        <v>41.43</v>
      </c>
      <c r="G161" s="461">
        <v>0.17</v>
      </c>
      <c r="H161" s="461"/>
      <c r="I161" s="461"/>
      <c r="J161" s="461"/>
      <c r="K161" s="461"/>
      <c r="L161" s="725"/>
      <c r="M161" s="463">
        <f t="shared" si="59"/>
        <v>7.04</v>
      </c>
      <c r="N161" s="463">
        <f t="shared" si="42"/>
        <v>0.7</v>
      </c>
      <c r="O161" s="463">
        <f t="shared" si="43"/>
        <v>1.85</v>
      </c>
      <c r="P161" s="463">
        <f t="shared" si="44"/>
        <v>21.05</v>
      </c>
      <c r="Q161" s="463">
        <f t="shared" si="45"/>
        <v>30.64</v>
      </c>
      <c r="R161" s="463">
        <f t="shared" si="46"/>
        <v>12.68</v>
      </c>
      <c r="S161" s="463">
        <f t="shared" si="47"/>
        <v>6.07</v>
      </c>
      <c r="T161" s="463">
        <f t="shared" si="60"/>
        <v>39.799999999999997</v>
      </c>
      <c r="U161" s="472"/>
      <c r="V161" s="472"/>
      <c r="W161" s="472"/>
      <c r="X161" s="574">
        <f t="shared" si="48"/>
        <v>30.64</v>
      </c>
      <c r="Y161" s="422" t="b">
        <f t="shared" si="49"/>
        <v>1</v>
      </c>
      <c r="Z161" s="574">
        <f t="shared" si="50"/>
        <v>49.39</v>
      </c>
      <c r="AA161" s="710">
        <f t="shared" si="51"/>
        <v>0.41</v>
      </c>
    </row>
    <row r="162" spans="1:27" ht="17.25" hidden="1" customHeight="1" outlineLevel="1" x14ac:dyDescent="0.25">
      <c r="A162" s="479" t="s">
        <v>483</v>
      </c>
      <c r="B162" s="422" t="s">
        <v>484</v>
      </c>
      <c r="C162" s="445" t="s">
        <v>436</v>
      </c>
      <c r="D162" s="475" t="s">
        <v>41</v>
      </c>
      <c r="E162" s="475" t="s">
        <v>42</v>
      </c>
      <c r="F162" s="461">
        <f t="shared" si="58"/>
        <v>41.43</v>
      </c>
      <c r="G162" s="461">
        <v>0.5</v>
      </c>
      <c r="H162" s="461"/>
      <c r="I162" s="461"/>
      <c r="J162" s="461"/>
      <c r="K162" s="461"/>
      <c r="L162" s="725"/>
      <c r="M162" s="463">
        <f t="shared" si="59"/>
        <v>20.72</v>
      </c>
      <c r="N162" s="463">
        <f t="shared" si="42"/>
        <v>2.0699999999999998</v>
      </c>
      <c r="O162" s="463">
        <f t="shared" si="43"/>
        <v>5.45</v>
      </c>
      <c r="P162" s="463">
        <f t="shared" si="44"/>
        <v>61.95</v>
      </c>
      <c r="Q162" s="463">
        <f t="shared" si="45"/>
        <v>90.19</v>
      </c>
      <c r="R162" s="463">
        <f t="shared" si="46"/>
        <v>37.29</v>
      </c>
      <c r="S162" s="463">
        <f t="shared" si="47"/>
        <v>17.86</v>
      </c>
      <c r="T162" s="463">
        <f t="shared" si="60"/>
        <v>117.1</v>
      </c>
      <c r="U162" s="472"/>
      <c r="V162" s="472"/>
      <c r="W162" s="472"/>
      <c r="X162" s="574">
        <f t="shared" si="48"/>
        <v>90.19</v>
      </c>
      <c r="Y162" s="422" t="b">
        <f t="shared" si="49"/>
        <v>1</v>
      </c>
      <c r="Z162" s="574">
        <f t="shared" si="50"/>
        <v>145.34</v>
      </c>
      <c r="AA162" s="710">
        <f t="shared" si="51"/>
        <v>0.41</v>
      </c>
    </row>
    <row r="163" spans="1:27" ht="17.25" hidden="1" customHeight="1" outlineLevel="1" x14ac:dyDescent="0.25">
      <c r="A163" s="479" t="s">
        <v>485</v>
      </c>
      <c r="B163" s="422" t="s">
        <v>486</v>
      </c>
      <c r="C163" s="445" t="s">
        <v>86</v>
      </c>
      <c r="D163" s="475" t="s">
        <v>41</v>
      </c>
      <c r="E163" s="475" t="s">
        <v>42</v>
      </c>
      <c r="F163" s="461">
        <f t="shared" si="58"/>
        <v>41.43</v>
      </c>
      <c r="G163" s="461">
        <v>0.67</v>
      </c>
      <c r="H163" s="461"/>
      <c r="I163" s="461"/>
      <c r="J163" s="461"/>
      <c r="K163" s="461"/>
      <c r="L163" s="725"/>
      <c r="M163" s="463">
        <f t="shared" si="59"/>
        <v>27.76</v>
      </c>
      <c r="N163" s="463">
        <f t="shared" si="42"/>
        <v>2.78</v>
      </c>
      <c r="O163" s="463">
        <f t="shared" si="43"/>
        <v>7.3</v>
      </c>
      <c r="P163" s="463">
        <f t="shared" si="44"/>
        <v>83</v>
      </c>
      <c r="Q163" s="463">
        <f t="shared" si="45"/>
        <v>120.84</v>
      </c>
      <c r="R163" s="463">
        <f t="shared" si="46"/>
        <v>49.97</v>
      </c>
      <c r="S163" s="463">
        <f t="shared" si="47"/>
        <v>23.93</v>
      </c>
      <c r="T163" s="463">
        <f t="shared" si="60"/>
        <v>156.9</v>
      </c>
      <c r="U163" s="472"/>
      <c r="V163" s="472"/>
      <c r="W163" s="472"/>
      <c r="X163" s="574">
        <f t="shared" si="48"/>
        <v>120.84</v>
      </c>
      <c r="Y163" s="422" t="b">
        <f t="shared" si="49"/>
        <v>1</v>
      </c>
      <c r="Z163" s="574">
        <f t="shared" si="50"/>
        <v>194.74</v>
      </c>
      <c r="AA163" s="710">
        <f t="shared" si="51"/>
        <v>0.41</v>
      </c>
    </row>
    <row r="164" spans="1:27" ht="17.25" hidden="1" customHeight="1" outlineLevel="1" x14ac:dyDescent="0.25">
      <c r="A164" s="479" t="s">
        <v>487</v>
      </c>
      <c r="B164" s="422" t="s">
        <v>488</v>
      </c>
      <c r="C164" s="445" t="s">
        <v>415</v>
      </c>
      <c r="D164" s="475" t="s">
        <v>41</v>
      </c>
      <c r="E164" s="475" t="s">
        <v>42</v>
      </c>
      <c r="F164" s="461">
        <f t="shared" si="58"/>
        <v>41.43</v>
      </c>
      <c r="G164" s="461">
        <v>0.3</v>
      </c>
      <c r="H164" s="461"/>
      <c r="I164" s="461"/>
      <c r="J164" s="461"/>
      <c r="K164" s="461"/>
      <c r="L164" s="725"/>
      <c r="M164" s="463">
        <f t="shared" si="59"/>
        <v>12.43</v>
      </c>
      <c r="N164" s="463">
        <f t="shared" si="42"/>
        <v>1.24</v>
      </c>
      <c r="O164" s="463">
        <f t="shared" si="43"/>
        <v>3.27</v>
      </c>
      <c r="P164" s="463">
        <f t="shared" si="44"/>
        <v>37.17</v>
      </c>
      <c r="Q164" s="463">
        <f t="shared" si="45"/>
        <v>54.11</v>
      </c>
      <c r="R164" s="463">
        <f t="shared" si="46"/>
        <v>22.32</v>
      </c>
      <c r="S164" s="463">
        <f t="shared" si="47"/>
        <v>10.71</v>
      </c>
      <c r="T164" s="463">
        <f t="shared" si="60"/>
        <v>70.2</v>
      </c>
      <c r="U164" s="472"/>
      <c r="V164" s="472"/>
      <c r="W164" s="472"/>
      <c r="X164" s="574">
        <f t="shared" si="48"/>
        <v>54.11</v>
      </c>
      <c r="Y164" s="422" t="b">
        <f t="shared" si="49"/>
        <v>1</v>
      </c>
      <c r="Z164" s="574">
        <f t="shared" si="50"/>
        <v>87.14</v>
      </c>
      <c r="AA164" s="710">
        <f t="shared" si="51"/>
        <v>0.41</v>
      </c>
    </row>
    <row r="165" spans="1:27" ht="17.25" hidden="1" customHeight="1" outlineLevel="1" x14ac:dyDescent="0.25">
      <c r="A165" s="479" t="s">
        <v>489</v>
      </c>
      <c r="B165" s="422" t="s">
        <v>490</v>
      </c>
      <c r="C165" s="445" t="s">
        <v>73</v>
      </c>
      <c r="D165" s="475" t="s">
        <v>41</v>
      </c>
      <c r="E165" s="475" t="s">
        <v>42</v>
      </c>
      <c r="F165" s="461">
        <f t="shared" si="58"/>
        <v>41.43</v>
      </c>
      <c r="G165" s="461">
        <v>0.5</v>
      </c>
      <c r="H165" s="461"/>
      <c r="I165" s="461"/>
      <c r="J165" s="461"/>
      <c r="K165" s="461"/>
      <c r="L165" s="725"/>
      <c r="M165" s="463">
        <f t="shared" si="59"/>
        <v>20.72</v>
      </c>
      <c r="N165" s="463">
        <f t="shared" si="42"/>
        <v>2.0699999999999998</v>
      </c>
      <c r="O165" s="463">
        <f t="shared" si="43"/>
        <v>5.45</v>
      </c>
      <c r="P165" s="463">
        <f t="shared" si="44"/>
        <v>61.95</v>
      </c>
      <c r="Q165" s="463">
        <f t="shared" si="45"/>
        <v>90.19</v>
      </c>
      <c r="R165" s="463">
        <f t="shared" si="46"/>
        <v>37.29</v>
      </c>
      <c r="S165" s="463">
        <f t="shared" si="47"/>
        <v>17.86</v>
      </c>
      <c r="T165" s="463">
        <f t="shared" si="60"/>
        <v>117.1</v>
      </c>
      <c r="U165" s="472"/>
      <c r="V165" s="472"/>
      <c r="W165" s="472"/>
      <c r="X165" s="574">
        <f t="shared" si="48"/>
        <v>90.19</v>
      </c>
      <c r="Y165" s="422" t="b">
        <f t="shared" si="49"/>
        <v>1</v>
      </c>
      <c r="Z165" s="574">
        <f t="shared" si="50"/>
        <v>145.34</v>
      </c>
      <c r="AA165" s="710">
        <f t="shared" si="51"/>
        <v>0.41</v>
      </c>
    </row>
    <row r="166" spans="1:27" ht="17.25" hidden="1" customHeight="1" outlineLevel="1" x14ac:dyDescent="0.25">
      <c r="A166" s="479" t="s">
        <v>491</v>
      </c>
      <c r="B166" s="422" t="s">
        <v>492</v>
      </c>
      <c r="C166" s="445" t="s">
        <v>40</v>
      </c>
      <c r="D166" s="475" t="s">
        <v>41</v>
      </c>
      <c r="E166" s="475" t="s">
        <v>42</v>
      </c>
      <c r="F166" s="461">
        <f t="shared" si="58"/>
        <v>41.43</v>
      </c>
      <c r="G166" s="461">
        <v>0.33</v>
      </c>
      <c r="H166" s="461"/>
      <c r="I166" s="461"/>
      <c r="J166" s="461"/>
      <c r="K166" s="461"/>
      <c r="L166" s="725"/>
      <c r="M166" s="463">
        <f t="shared" si="59"/>
        <v>13.67</v>
      </c>
      <c r="N166" s="463">
        <f t="shared" si="42"/>
        <v>1.37</v>
      </c>
      <c r="O166" s="463">
        <f t="shared" si="43"/>
        <v>3.6</v>
      </c>
      <c r="P166" s="463">
        <f t="shared" si="44"/>
        <v>40.869999999999997</v>
      </c>
      <c r="Q166" s="463">
        <f t="shared" si="45"/>
        <v>59.51</v>
      </c>
      <c r="R166" s="463">
        <f t="shared" si="46"/>
        <v>24.55</v>
      </c>
      <c r="S166" s="463">
        <f t="shared" si="47"/>
        <v>11.78</v>
      </c>
      <c r="T166" s="463">
        <f t="shared" si="60"/>
        <v>77.2</v>
      </c>
      <c r="U166" s="472"/>
      <c r="V166" s="472"/>
      <c r="W166" s="472"/>
      <c r="X166" s="574">
        <f t="shared" si="48"/>
        <v>59.51</v>
      </c>
      <c r="Y166" s="422" t="b">
        <f t="shared" si="49"/>
        <v>1</v>
      </c>
      <c r="Z166" s="574">
        <f t="shared" si="50"/>
        <v>95.84</v>
      </c>
      <c r="AA166" s="710">
        <f t="shared" si="51"/>
        <v>0.41</v>
      </c>
    </row>
    <row r="167" spans="1:27" ht="17.25" hidden="1" customHeight="1" outlineLevel="1" x14ac:dyDescent="0.25">
      <c r="A167" s="774" t="s">
        <v>493</v>
      </c>
      <c r="B167" s="422" t="s">
        <v>494</v>
      </c>
      <c r="C167" s="445" t="s">
        <v>415</v>
      </c>
      <c r="D167" s="475" t="s">
        <v>41</v>
      </c>
      <c r="E167" s="475" t="s">
        <v>42</v>
      </c>
      <c r="F167" s="461">
        <f t="shared" si="58"/>
        <v>41.43</v>
      </c>
      <c r="G167" s="461">
        <v>0.67</v>
      </c>
      <c r="H167" s="461"/>
      <c r="I167" s="461"/>
      <c r="J167" s="461"/>
      <c r="K167" s="461"/>
      <c r="L167" s="725"/>
      <c r="M167" s="463">
        <f t="shared" si="59"/>
        <v>27.76</v>
      </c>
      <c r="N167" s="463">
        <f t="shared" si="42"/>
        <v>2.78</v>
      </c>
      <c r="O167" s="463">
        <f t="shared" si="43"/>
        <v>7.3</v>
      </c>
      <c r="P167" s="463">
        <f t="shared" si="44"/>
        <v>83</v>
      </c>
      <c r="Q167" s="463">
        <f t="shared" si="45"/>
        <v>120.84</v>
      </c>
      <c r="R167" s="463">
        <f t="shared" si="46"/>
        <v>49.97</v>
      </c>
      <c r="S167" s="463">
        <f t="shared" si="47"/>
        <v>23.93</v>
      </c>
      <c r="T167" s="463">
        <f t="shared" si="60"/>
        <v>156.9</v>
      </c>
      <c r="U167" s="472"/>
      <c r="V167" s="472"/>
      <c r="W167" s="472"/>
      <c r="X167" s="574">
        <f t="shared" si="48"/>
        <v>120.84</v>
      </c>
      <c r="Y167" s="422" t="b">
        <f t="shared" si="49"/>
        <v>1</v>
      </c>
      <c r="Z167" s="574">
        <f t="shared" si="50"/>
        <v>194.74</v>
      </c>
      <c r="AA167" s="710">
        <f t="shared" si="51"/>
        <v>0.41</v>
      </c>
    </row>
    <row r="168" spans="1:27" ht="17.25" hidden="1" customHeight="1" outlineLevel="1" x14ac:dyDescent="0.25">
      <c r="A168" s="774" t="s">
        <v>495</v>
      </c>
      <c r="B168" s="422" t="s">
        <v>496</v>
      </c>
      <c r="C168" s="445" t="s">
        <v>45</v>
      </c>
      <c r="D168" s="475" t="s">
        <v>41</v>
      </c>
      <c r="E168" s="475" t="s">
        <v>42</v>
      </c>
      <c r="F168" s="461">
        <f t="shared" si="58"/>
        <v>41.43</v>
      </c>
      <c r="G168" s="461">
        <v>0.25</v>
      </c>
      <c r="H168" s="461"/>
      <c r="I168" s="461"/>
      <c r="J168" s="461"/>
      <c r="K168" s="461"/>
      <c r="L168" s="725"/>
      <c r="M168" s="463">
        <f t="shared" si="59"/>
        <v>10.36</v>
      </c>
      <c r="N168" s="463">
        <f t="shared" si="42"/>
        <v>1.04</v>
      </c>
      <c r="O168" s="463">
        <f t="shared" si="43"/>
        <v>2.72</v>
      </c>
      <c r="P168" s="463">
        <f t="shared" si="44"/>
        <v>30.98</v>
      </c>
      <c r="Q168" s="463">
        <f t="shared" si="45"/>
        <v>45.1</v>
      </c>
      <c r="R168" s="463">
        <f t="shared" si="46"/>
        <v>18.600000000000001</v>
      </c>
      <c r="S168" s="463">
        <f t="shared" si="47"/>
        <v>8.92</v>
      </c>
      <c r="T168" s="463">
        <f t="shared" si="60"/>
        <v>58.5</v>
      </c>
      <c r="U168" s="472"/>
      <c r="V168" s="472"/>
      <c r="W168" s="472"/>
      <c r="X168" s="574">
        <f t="shared" si="48"/>
        <v>45.1</v>
      </c>
      <c r="Y168" s="422" t="b">
        <f t="shared" si="49"/>
        <v>1</v>
      </c>
      <c r="Z168" s="574">
        <f t="shared" si="50"/>
        <v>72.62</v>
      </c>
      <c r="AA168" s="710">
        <f t="shared" si="51"/>
        <v>0.41</v>
      </c>
    </row>
    <row r="169" spans="1:27" ht="17.25" hidden="1" customHeight="1" outlineLevel="1" x14ac:dyDescent="0.25">
      <c r="A169" s="774" t="s">
        <v>497</v>
      </c>
      <c r="B169" s="422" t="s">
        <v>498</v>
      </c>
      <c r="C169" s="445" t="s">
        <v>499</v>
      </c>
      <c r="D169" s="475" t="s">
        <v>41</v>
      </c>
      <c r="E169" s="475" t="s">
        <v>42</v>
      </c>
      <c r="F169" s="461">
        <f t="shared" si="58"/>
        <v>41.43</v>
      </c>
      <c r="G169" s="461">
        <v>0.5</v>
      </c>
      <c r="H169" s="461"/>
      <c r="I169" s="461"/>
      <c r="J169" s="461"/>
      <c r="K169" s="461"/>
      <c r="L169" s="725"/>
      <c r="M169" s="463">
        <f t="shared" si="59"/>
        <v>20.72</v>
      </c>
      <c r="N169" s="463">
        <f t="shared" si="42"/>
        <v>2.0699999999999998</v>
      </c>
      <c r="O169" s="463">
        <f t="shared" si="43"/>
        <v>5.45</v>
      </c>
      <c r="P169" s="463">
        <f t="shared" si="44"/>
        <v>61.95</v>
      </c>
      <c r="Q169" s="463">
        <f t="shared" si="45"/>
        <v>90.19</v>
      </c>
      <c r="R169" s="463">
        <f t="shared" si="46"/>
        <v>37.29</v>
      </c>
      <c r="S169" s="463">
        <f t="shared" si="47"/>
        <v>17.86</v>
      </c>
      <c r="T169" s="463">
        <f t="shared" si="60"/>
        <v>117.1</v>
      </c>
      <c r="U169" s="472"/>
      <c r="V169" s="472"/>
      <c r="W169" s="472"/>
      <c r="X169" s="574">
        <f t="shared" si="48"/>
        <v>90.19</v>
      </c>
      <c r="Y169" s="422" t="b">
        <f t="shared" si="49"/>
        <v>1</v>
      </c>
      <c r="Z169" s="574">
        <f t="shared" si="50"/>
        <v>145.34</v>
      </c>
      <c r="AA169" s="710">
        <f t="shared" si="51"/>
        <v>0.41</v>
      </c>
    </row>
    <row r="170" spans="1:27" ht="17.25" hidden="1" customHeight="1" outlineLevel="1" x14ac:dyDescent="0.25">
      <c r="A170" s="774" t="s">
        <v>500</v>
      </c>
      <c r="B170" s="422" t="s">
        <v>501</v>
      </c>
      <c r="C170" s="445" t="s">
        <v>467</v>
      </c>
      <c r="D170" s="475" t="s">
        <v>41</v>
      </c>
      <c r="E170" s="475" t="s">
        <v>42</v>
      </c>
      <c r="F170" s="461">
        <f t="shared" si="58"/>
        <v>41.43</v>
      </c>
      <c r="G170" s="461">
        <v>0.6</v>
      </c>
      <c r="H170" s="461"/>
      <c r="I170" s="461"/>
      <c r="J170" s="461"/>
      <c r="K170" s="461"/>
      <c r="L170" s="725"/>
      <c r="M170" s="463">
        <f t="shared" si="59"/>
        <v>24.86</v>
      </c>
      <c r="N170" s="463">
        <f t="shared" si="42"/>
        <v>2.4900000000000002</v>
      </c>
      <c r="O170" s="463">
        <f t="shared" si="43"/>
        <v>6.54</v>
      </c>
      <c r="P170" s="463">
        <f t="shared" si="44"/>
        <v>74.33</v>
      </c>
      <c r="Q170" s="463">
        <f t="shared" si="45"/>
        <v>108.22</v>
      </c>
      <c r="R170" s="463">
        <f t="shared" si="46"/>
        <v>44.74</v>
      </c>
      <c r="S170" s="463">
        <f t="shared" si="47"/>
        <v>21.43</v>
      </c>
      <c r="T170" s="463">
        <f t="shared" si="60"/>
        <v>140.5</v>
      </c>
      <c r="U170" s="472"/>
      <c r="V170" s="472"/>
      <c r="W170" s="472"/>
      <c r="X170" s="574">
        <f t="shared" si="48"/>
        <v>108.22</v>
      </c>
      <c r="Y170" s="422" t="b">
        <f t="shared" si="49"/>
        <v>1</v>
      </c>
      <c r="Z170" s="574">
        <f t="shared" si="50"/>
        <v>174.39</v>
      </c>
      <c r="AA170" s="710">
        <f t="shared" si="51"/>
        <v>0.41</v>
      </c>
    </row>
    <row r="171" spans="1:27" ht="17.25" hidden="1" customHeight="1" outlineLevel="1" x14ac:dyDescent="0.25">
      <c r="A171" s="774" t="s">
        <v>502</v>
      </c>
      <c r="B171" s="422" t="s">
        <v>503</v>
      </c>
      <c r="C171" s="445" t="s">
        <v>412</v>
      </c>
      <c r="D171" s="475" t="s">
        <v>41</v>
      </c>
      <c r="E171" s="475" t="s">
        <v>42</v>
      </c>
      <c r="F171" s="461">
        <f t="shared" si="58"/>
        <v>41.43</v>
      </c>
      <c r="G171" s="461">
        <v>0.3</v>
      </c>
      <c r="H171" s="461"/>
      <c r="I171" s="461"/>
      <c r="J171" s="461"/>
      <c r="K171" s="461"/>
      <c r="L171" s="725"/>
      <c r="M171" s="463">
        <f t="shared" si="59"/>
        <v>12.43</v>
      </c>
      <c r="N171" s="463">
        <f t="shared" si="42"/>
        <v>1.24</v>
      </c>
      <c r="O171" s="463">
        <f t="shared" si="43"/>
        <v>3.27</v>
      </c>
      <c r="P171" s="463">
        <f t="shared" si="44"/>
        <v>37.17</v>
      </c>
      <c r="Q171" s="463">
        <f t="shared" si="45"/>
        <v>54.11</v>
      </c>
      <c r="R171" s="463">
        <f t="shared" si="46"/>
        <v>22.32</v>
      </c>
      <c r="S171" s="463">
        <f t="shared" si="47"/>
        <v>10.71</v>
      </c>
      <c r="T171" s="463">
        <f t="shared" si="60"/>
        <v>70.2</v>
      </c>
      <c r="U171" s="472"/>
      <c r="V171" s="472"/>
      <c r="W171" s="472"/>
      <c r="X171" s="574">
        <f t="shared" si="48"/>
        <v>54.11</v>
      </c>
      <c r="Y171" s="422" t="b">
        <f t="shared" si="49"/>
        <v>1</v>
      </c>
      <c r="Z171" s="574">
        <f t="shared" si="50"/>
        <v>87.14</v>
      </c>
      <c r="AA171" s="710">
        <f t="shared" si="51"/>
        <v>0.41</v>
      </c>
    </row>
    <row r="172" spans="1:27" ht="17.25" hidden="1" customHeight="1" outlineLevel="1" x14ac:dyDescent="0.25">
      <c r="A172" s="774" t="s">
        <v>504</v>
      </c>
      <c r="B172" s="422" t="s">
        <v>505</v>
      </c>
      <c r="C172" s="445" t="s">
        <v>506</v>
      </c>
      <c r="D172" s="475" t="s">
        <v>41</v>
      </c>
      <c r="E172" s="475" t="s">
        <v>42</v>
      </c>
      <c r="F172" s="461">
        <f t="shared" si="58"/>
        <v>41.43</v>
      </c>
      <c r="G172" s="461">
        <v>0.63</v>
      </c>
      <c r="H172" s="461"/>
      <c r="I172" s="461"/>
      <c r="J172" s="461"/>
      <c r="K172" s="461"/>
      <c r="L172" s="725"/>
      <c r="M172" s="463">
        <f t="shared" si="59"/>
        <v>26.1</v>
      </c>
      <c r="N172" s="463">
        <f t="shared" si="42"/>
        <v>2.61</v>
      </c>
      <c r="O172" s="463">
        <f t="shared" si="43"/>
        <v>6.86</v>
      </c>
      <c r="P172" s="463">
        <f t="shared" si="44"/>
        <v>78.040000000000006</v>
      </c>
      <c r="Q172" s="463">
        <f t="shared" si="45"/>
        <v>113.61</v>
      </c>
      <c r="R172" s="463">
        <f t="shared" si="46"/>
        <v>46.96</v>
      </c>
      <c r="S172" s="463">
        <f t="shared" si="47"/>
        <v>22.5</v>
      </c>
      <c r="T172" s="463">
        <f t="shared" si="60"/>
        <v>147.5</v>
      </c>
      <c r="U172" s="472"/>
      <c r="V172" s="472"/>
      <c r="W172" s="472"/>
      <c r="X172" s="574">
        <f t="shared" si="48"/>
        <v>113.61</v>
      </c>
      <c r="Y172" s="422" t="b">
        <f t="shared" si="49"/>
        <v>1</v>
      </c>
      <c r="Z172" s="574">
        <f t="shared" si="50"/>
        <v>183.07</v>
      </c>
      <c r="AA172" s="710">
        <f t="shared" si="51"/>
        <v>0.41</v>
      </c>
    </row>
    <row r="173" spans="1:27" s="776" customFormat="1" ht="17.25" hidden="1" customHeight="1" outlineLevel="1" x14ac:dyDescent="0.25">
      <c r="A173" s="775"/>
      <c r="B173" s="776" t="s">
        <v>1446</v>
      </c>
      <c r="C173" s="777"/>
      <c r="D173" s="778"/>
      <c r="E173" s="778"/>
      <c r="F173" s="779">
        <f>F172</f>
        <v>41.43</v>
      </c>
      <c r="G173" s="779">
        <f>SUM(G120:G172)/51</f>
        <v>0.52</v>
      </c>
      <c r="H173" s="779"/>
      <c r="I173" s="779"/>
      <c r="J173" s="779"/>
      <c r="K173" s="779"/>
      <c r="L173" s="779"/>
      <c r="M173" s="780">
        <f t="shared" si="59"/>
        <v>21.54</v>
      </c>
      <c r="N173" s="463">
        <f t="shared" si="42"/>
        <v>2.15</v>
      </c>
      <c r="O173" s="463">
        <f t="shared" si="43"/>
        <v>5.67</v>
      </c>
      <c r="P173" s="463">
        <f t="shared" si="44"/>
        <v>64.400000000000006</v>
      </c>
      <c r="Q173" s="463">
        <f t="shared" si="45"/>
        <v>93.76</v>
      </c>
      <c r="R173" s="463">
        <f t="shared" si="46"/>
        <v>38.74</v>
      </c>
      <c r="S173" s="463">
        <f t="shared" si="47"/>
        <v>18.57</v>
      </c>
      <c r="T173" s="780">
        <f t="shared" si="60"/>
        <v>121.7</v>
      </c>
      <c r="U173" s="472"/>
      <c r="V173" s="472"/>
      <c r="W173" s="472"/>
      <c r="X173" s="574">
        <f t="shared" si="48"/>
        <v>93.76</v>
      </c>
      <c r="Y173" s="422" t="b">
        <f t="shared" si="49"/>
        <v>1</v>
      </c>
      <c r="Z173" s="574">
        <f t="shared" si="50"/>
        <v>151.07</v>
      </c>
      <c r="AA173" s="710">
        <f t="shared" si="51"/>
        <v>0.41</v>
      </c>
    </row>
    <row r="174" spans="1:27" s="772" customFormat="1" ht="21.75" hidden="1" customHeight="1" outlineLevel="1" x14ac:dyDescent="0.25">
      <c r="A174" s="765" t="s">
        <v>507</v>
      </c>
      <c r="B174" s="781"/>
      <c r="C174" s="767"/>
      <c r="D174" s="768"/>
      <c r="E174" s="768"/>
      <c r="F174" s="769"/>
      <c r="G174" s="769"/>
      <c r="H174" s="769"/>
      <c r="I174" s="769"/>
      <c r="J174" s="769"/>
      <c r="K174" s="769"/>
      <c r="L174" s="770"/>
      <c r="M174" s="769"/>
      <c r="N174" s="463">
        <f t="shared" si="42"/>
        <v>0</v>
      </c>
      <c r="O174" s="463">
        <f t="shared" si="43"/>
        <v>0</v>
      </c>
      <c r="P174" s="463">
        <f t="shared" si="44"/>
        <v>0</v>
      </c>
      <c r="Q174" s="463">
        <f t="shared" si="45"/>
        <v>0</v>
      </c>
      <c r="R174" s="463">
        <f t="shared" si="46"/>
        <v>0</v>
      </c>
      <c r="S174" s="463">
        <f t="shared" si="47"/>
        <v>0</v>
      </c>
      <c r="T174" s="771"/>
      <c r="U174" s="472"/>
      <c r="V174" s="472"/>
      <c r="W174" s="472"/>
      <c r="X174" s="574">
        <f t="shared" si="48"/>
        <v>0</v>
      </c>
      <c r="Y174" s="422" t="b">
        <f t="shared" si="49"/>
        <v>1</v>
      </c>
      <c r="Z174" s="574">
        <f t="shared" si="50"/>
        <v>0</v>
      </c>
      <c r="AA174" s="710" t="e">
        <f t="shared" si="51"/>
        <v>#DIV/0!</v>
      </c>
    </row>
    <row r="175" spans="1:27" ht="21" hidden="1" customHeight="1" outlineLevel="1" x14ac:dyDescent="0.25">
      <c r="A175" s="479" t="s">
        <v>508</v>
      </c>
      <c r="B175" s="422" t="s">
        <v>509</v>
      </c>
      <c r="C175" s="445" t="s">
        <v>510</v>
      </c>
      <c r="D175" s="475"/>
      <c r="E175" s="475"/>
      <c r="F175" s="461"/>
      <c r="G175" s="461"/>
      <c r="H175" s="461"/>
      <c r="I175" s="461"/>
      <c r="J175" s="461"/>
      <c r="K175" s="461"/>
      <c r="L175" s="725"/>
      <c r="M175" s="463"/>
      <c r="N175" s="463">
        <f t="shared" si="42"/>
        <v>0</v>
      </c>
      <c r="O175" s="463">
        <f t="shared" si="43"/>
        <v>0</v>
      </c>
      <c r="P175" s="463">
        <f t="shared" si="44"/>
        <v>0</v>
      </c>
      <c r="Q175" s="463">
        <f t="shared" si="45"/>
        <v>0</v>
      </c>
      <c r="R175" s="463">
        <f t="shared" si="46"/>
        <v>0</v>
      </c>
      <c r="S175" s="463">
        <f t="shared" si="47"/>
        <v>0</v>
      </c>
      <c r="T175" s="773"/>
      <c r="U175" s="472"/>
      <c r="V175" s="472"/>
      <c r="W175" s="472"/>
      <c r="X175" s="574">
        <f t="shared" si="48"/>
        <v>0</v>
      </c>
      <c r="Y175" s="422" t="b">
        <f t="shared" si="49"/>
        <v>1</v>
      </c>
      <c r="Z175" s="574">
        <f t="shared" si="50"/>
        <v>0</v>
      </c>
      <c r="AA175" s="710" t="e">
        <f t="shared" si="51"/>
        <v>#DIV/0!</v>
      </c>
    </row>
    <row r="176" spans="1:27" ht="12.75" hidden="1" customHeight="1" outlineLevel="1" x14ac:dyDescent="0.25">
      <c r="A176" s="479"/>
      <c r="B176" s="422" t="s">
        <v>511</v>
      </c>
      <c r="C176" s="445" t="s">
        <v>512</v>
      </c>
      <c r="D176" s="475" t="s">
        <v>42</v>
      </c>
      <c r="E176" s="475" t="s">
        <v>54</v>
      </c>
      <c r="F176" s="461">
        <f t="shared" ref="F176:F235" si="61">$F$29</f>
        <v>53.44</v>
      </c>
      <c r="G176" s="461">
        <v>3</v>
      </c>
      <c r="H176" s="461"/>
      <c r="I176" s="461"/>
      <c r="J176" s="461"/>
      <c r="K176" s="461"/>
      <c r="L176" s="725"/>
      <c r="M176" s="463">
        <f t="shared" ref="M176:M235" si="62">F176*G176</f>
        <v>160.32</v>
      </c>
      <c r="N176" s="463">
        <f t="shared" si="42"/>
        <v>16.03</v>
      </c>
      <c r="O176" s="463">
        <f t="shared" si="43"/>
        <v>42.16</v>
      </c>
      <c r="P176" s="463">
        <f t="shared" si="44"/>
        <v>479.36</v>
      </c>
      <c r="Q176" s="463">
        <f t="shared" si="45"/>
        <v>697.87</v>
      </c>
      <c r="R176" s="463">
        <f t="shared" si="46"/>
        <v>288.27</v>
      </c>
      <c r="S176" s="463">
        <f t="shared" si="47"/>
        <v>138.16999999999999</v>
      </c>
      <c r="T176" s="463">
        <f t="shared" ref="T176:T235" si="63">ROUND(Q176*1.298,1)</f>
        <v>905.8</v>
      </c>
      <c r="U176" s="472"/>
      <c r="V176" s="472"/>
      <c r="W176" s="472"/>
      <c r="X176" s="574">
        <f t="shared" si="48"/>
        <v>697.87</v>
      </c>
      <c r="Y176" s="422" t="b">
        <f t="shared" si="49"/>
        <v>1</v>
      </c>
      <c r="Z176" s="574">
        <f t="shared" si="50"/>
        <v>1124.31</v>
      </c>
      <c r="AA176" s="710">
        <f t="shared" si="51"/>
        <v>0.41</v>
      </c>
    </row>
    <row r="177" spans="1:27" ht="18" hidden="1" customHeight="1" outlineLevel="1" x14ac:dyDescent="0.25">
      <c r="A177" s="479" t="s">
        <v>513</v>
      </c>
      <c r="B177" s="422" t="s">
        <v>514</v>
      </c>
      <c r="C177" s="445" t="s">
        <v>45</v>
      </c>
      <c r="D177" s="475" t="s">
        <v>42</v>
      </c>
      <c r="E177" s="475" t="s">
        <v>54</v>
      </c>
      <c r="F177" s="461">
        <f t="shared" si="61"/>
        <v>53.44</v>
      </c>
      <c r="G177" s="461">
        <v>1.2</v>
      </c>
      <c r="H177" s="461"/>
      <c r="I177" s="461"/>
      <c r="J177" s="461"/>
      <c r="K177" s="461"/>
      <c r="L177" s="725"/>
      <c r="M177" s="463">
        <f t="shared" si="62"/>
        <v>64.13</v>
      </c>
      <c r="N177" s="463">
        <f t="shared" si="42"/>
        <v>6.41</v>
      </c>
      <c r="O177" s="463">
        <f t="shared" si="43"/>
        <v>16.87</v>
      </c>
      <c r="P177" s="463">
        <f t="shared" si="44"/>
        <v>191.75</v>
      </c>
      <c r="Q177" s="463">
        <f t="shared" si="45"/>
        <v>279.16000000000003</v>
      </c>
      <c r="R177" s="463">
        <f t="shared" si="46"/>
        <v>115.28</v>
      </c>
      <c r="S177" s="463">
        <f t="shared" si="47"/>
        <v>55.27</v>
      </c>
      <c r="T177" s="463">
        <f t="shared" si="63"/>
        <v>362.3</v>
      </c>
      <c r="U177" s="472"/>
      <c r="V177" s="472"/>
      <c r="W177" s="472"/>
      <c r="X177" s="574">
        <f t="shared" si="48"/>
        <v>279.16000000000003</v>
      </c>
      <c r="Y177" s="422" t="b">
        <f t="shared" si="49"/>
        <v>1</v>
      </c>
      <c r="Z177" s="574">
        <f t="shared" si="50"/>
        <v>449.71</v>
      </c>
      <c r="AA177" s="710">
        <f t="shared" si="51"/>
        <v>0.41</v>
      </c>
    </row>
    <row r="178" spans="1:27" ht="18" hidden="1" customHeight="1" outlineLevel="1" x14ac:dyDescent="0.25">
      <c r="A178" s="479" t="s">
        <v>515</v>
      </c>
      <c r="B178" s="422" t="s">
        <v>516</v>
      </c>
      <c r="C178" s="445" t="s">
        <v>86</v>
      </c>
      <c r="D178" s="475" t="s">
        <v>42</v>
      </c>
      <c r="E178" s="475" t="s">
        <v>54</v>
      </c>
      <c r="F178" s="461">
        <f t="shared" si="61"/>
        <v>53.44</v>
      </c>
      <c r="G178" s="461">
        <v>0.5</v>
      </c>
      <c r="H178" s="461"/>
      <c r="I178" s="461"/>
      <c r="J178" s="461"/>
      <c r="K178" s="461"/>
      <c r="L178" s="725"/>
      <c r="M178" s="463">
        <f t="shared" si="62"/>
        <v>26.72</v>
      </c>
      <c r="N178" s="463">
        <f t="shared" si="42"/>
        <v>2.67</v>
      </c>
      <c r="O178" s="463">
        <f t="shared" si="43"/>
        <v>7.03</v>
      </c>
      <c r="P178" s="463">
        <f t="shared" si="44"/>
        <v>79.89</v>
      </c>
      <c r="Q178" s="463">
        <f t="shared" si="45"/>
        <v>116.31</v>
      </c>
      <c r="R178" s="463">
        <f t="shared" si="46"/>
        <v>48.08</v>
      </c>
      <c r="S178" s="463">
        <f t="shared" si="47"/>
        <v>23.03</v>
      </c>
      <c r="T178" s="463">
        <f t="shared" si="63"/>
        <v>151</v>
      </c>
      <c r="U178" s="472"/>
      <c r="V178" s="472"/>
      <c r="W178" s="472"/>
      <c r="X178" s="574">
        <f t="shared" si="48"/>
        <v>116.31</v>
      </c>
      <c r="Y178" s="422" t="b">
        <f t="shared" si="49"/>
        <v>1</v>
      </c>
      <c r="Z178" s="574">
        <f t="shared" si="50"/>
        <v>187.42</v>
      </c>
      <c r="AA178" s="710">
        <f t="shared" si="51"/>
        <v>0.41</v>
      </c>
    </row>
    <row r="179" spans="1:27" ht="18" hidden="1" customHeight="1" outlineLevel="1" x14ac:dyDescent="0.25">
      <c r="A179" s="479" t="s">
        <v>517</v>
      </c>
      <c r="B179" s="422" t="s">
        <v>518</v>
      </c>
      <c r="C179" s="445" t="s">
        <v>519</v>
      </c>
      <c r="D179" s="475" t="s">
        <v>42</v>
      </c>
      <c r="E179" s="475" t="s">
        <v>54</v>
      </c>
      <c r="F179" s="461">
        <f t="shared" si="61"/>
        <v>53.44</v>
      </c>
      <c r="G179" s="461">
        <v>2</v>
      </c>
      <c r="H179" s="461"/>
      <c r="I179" s="461"/>
      <c r="J179" s="461"/>
      <c r="K179" s="461"/>
      <c r="L179" s="725"/>
      <c r="M179" s="463">
        <f t="shared" si="62"/>
        <v>106.88</v>
      </c>
      <c r="N179" s="463">
        <f t="shared" si="42"/>
        <v>10.69</v>
      </c>
      <c r="O179" s="463">
        <f t="shared" si="43"/>
        <v>28.11</v>
      </c>
      <c r="P179" s="463">
        <f t="shared" si="44"/>
        <v>319.57</v>
      </c>
      <c r="Q179" s="463">
        <f t="shared" si="45"/>
        <v>465.25</v>
      </c>
      <c r="R179" s="463">
        <f t="shared" si="46"/>
        <v>192.21</v>
      </c>
      <c r="S179" s="463">
        <f t="shared" si="47"/>
        <v>92.12</v>
      </c>
      <c r="T179" s="463">
        <f t="shared" si="63"/>
        <v>603.9</v>
      </c>
      <c r="U179" s="472"/>
      <c r="V179" s="472"/>
      <c r="W179" s="472"/>
      <c r="X179" s="574">
        <f t="shared" si="48"/>
        <v>465.25</v>
      </c>
      <c r="Y179" s="422" t="b">
        <f t="shared" si="49"/>
        <v>1</v>
      </c>
      <c r="Z179" s="574">
        <f t="shared" si="50"/>
        <v>749.58</v>
      </c>
      <c r="AA179" s="710">
        <f t="shared" si="51"/>
        <v>0.41</v>
      </c>
    </row>
    <row r="180" spans="1:27" ht="18" hidden="1" customHeight="1" outlineLevel="1" x14ac:dyDescent="0.25">
      <c r="A180" s="479" t="s">
        <v>520</v>
      </c>
      <c r="B180" s="422" t="s">
        <v>521</v>
      </c>
      <c r="C180" s="445" t="s">
        <v>45</v>
      </c>
      <c r="D180" s="475" t="s">
        <v>42</v>
      </c>
      <c r="E180" s="475" t="s">
        <v>54</v>
      </c>
      <c r="F180" s="461">
        <f t="shared" si="61"/>
        <v>53.44</v>
      </c>
      <c r="G180" s="461">
        <v>0.75</v>
      </c>
      <c r="H180" s="461"/>
      <c r="I180" s="461"/>
      <c r="J180" s="461"/>
      <c r="K180" s="461"/>
      <c r="L180" s="725"/>
      <c r="M180" s="463">
        <f t="shared" si="62"/>
        <v>40.08</v>
      </c>
      <c r="N180" s="463">
        <f t="shared" ref="N180:N243" si="64">M180*10%</f>
        <v>4.01</v>
      </c>
      <c r="O180" s="463">
        <f t="shared" ref="O180:O243" si="65">M180*26.3%</f>
        <v>10.54</v>
      </c>
      <c r="P180" s="463">
        <f t="shared" ref="P180:P243" si="66">M180*299%</f>
        <v>119.84</v>
      </c>
      <c r="Q180" s="463">
        <f t="shared" ref="Q180:Q243" si="67">M180+N180+O180+P180</f>
        <v>174.47</v>
      </c>
      <c r="R180" s="463">
        <f t="shared" ref="R180:R243" si="68">T180/1.18-P180</f>
        <v>72.11</v>
      </c>
      <c r="S180" s="463">
        <f t="shared" ref="S180:S243" si="69">(P180+R180)*18%</f>
        <v>34.549999999999997</v>
      </c>
      <c r="T180" s="463">
        <f t="shared" si="63"/>
        <v>226.5</v>
      </c>
      <c r="U180" s="472"/>
      <c r="V180" s="472"/>
      <c r="W180" s="472"/>
      <c r="X180" s="574">
        <f t="shared" ref="X180:X243" si="70">M180+N180+O180+P180</f>
        <v>174.47</v>
      </c>
      <c r="Y180" s="422" t="b">
        <f t="shared" si="49"/>
        <v>1</v>
      </c>
      <c r="Z180" s="574">
        <f t="shared" si="50"/>
        <v>281.13</v>
      </c>
      <c r="AA180" s="710">
        <f t="shared" si="51"/>
        <v>0.41</v>
      </c>
    </row>
    <row r="181" spans="1:27" ht="18" hidden="1" customHeight="1" outlineLevel="1" x14ac:dyDescent="0.25">
      <c r="A181" s="479" t="s">
        <v>522</v>
      </c>
      <c r="B181" s="422" t="s">
        <v>523</v>
      </c>
      <c r="C181" s="445" t="s">
        <v>45</v>
      </c>
      <c r="D181" s="475" t="s">
        <v>42</v>
      </c>
      <c r="E181" s="475" t="s">
        <v>54</v>
      </c>
      <c r="F181" s="461">
        <f t="shared" si="61"/>
        <v>53.44</v>
      </c>
      <c r="G181" s="461">
        <v>1.25</v>
      </c>
      <c r="H181" s="461"/>
      <c r="I181" s="461"/>
      <c r="J181" s="461"/>
      <c r="K181" s="461"/>
      <c r="L181" s="725"/>
      <c r="M181" s="463">
        <f t="shared" si="62"/>
        <v>66.8</v>
      </c>
      <c r="N181" s="463">
        <f t="shared" si="64"/>
        <v>6.68</v>
      </c>
      <c r="O181" s="463">
        <f t="shared" si="65"/>
        <v>17.57</v>
      </c>
      <c r="P181" s="463">
        <f t="shared" si="66"/>
        <v>199.73</v>
      </c>
      <c r="Q181" s="463">
        <f t="shared" si="67"/>
        <v>290.77999999999997</v>
      </c>
      <c r="R181" s="463">
        <f t="shared" si="68"/>
        <v>120.1</v>
      </c>
      <c r="S181" s="463">
        <f t="shared" si="69"/>
        <v>57.57</v>
      </c>
      <c r="T181" s="463">
        <f t="shared" si="63"/>
        <v>377.4</v>
      </c>
      <c r="U181" s="472"/>
      <c r="V181" s="472"/>
      <c r="W181" s="472"/>
      <c r="X181" s="574">
        <f t="shared" si="70"/>
        <v>290.77999999999997</v>
      </c>
      <c r="Y181" s="422" t="b">
        <f t="shared" si="49"/>
        <v>1</v>
      </c>
      <c r="Z181" s="574">
        <f t="shared" si="50"/>
        <v>468.45</v>
      </c>
      <c r="AA181" s="710">
        <f t="shared" si="51"/>
        <v>0.41</v>
      </c>
    </row>
    <row r="182" spans="1:27" ht="18" hidden="1" customHeight="1" outlineLevel="1" x14ac:dyDescent="0.25">
      <c r="A182" s="479" t="s">
        <v>524</v>
      </c>
      <c r="B182" s="422" t="s">
        <v>525</v>
      </c>
      <c r="C182" s="445" t="s">
        <v>45</v>
      </c>
      <c r="D182" s="475" t="s">
        <v>42</v>
      </c>
      <c r="E182" s="475" t="s">
        <v>54</v>
      </c>
      <c r="F182" s="461">
        <f t="shared" si="61"/>
        <v>53.44</v>
      </c>
      <c r="G182" s="461">
        <v>1.1100000000000001</v>
      </c>
      <c r="H182" s="461"/>
      <c r="I182" s="461"/>
      <c r="J182" s="461"/>
      <c r="K182" s="461"/>
      <c r="L182" s="725"/>
      <c r="M182" s="463">
        <f t="shared" si="62"/>
        <v>59.32</v>
      </c>
      <c r="N182" s="463">
        <f t="shared" si="64"/>
        <v>5.93</v>
      </c>
      <c r="O182" s="463">
        <f t="shared" si="65"/>
        <v>15.6</v>
      </c>
      <c r="P182" s="463">
        <f t="shared" si="66"/>
        <v>177.37</v>
      </c>
      <c r="Q182" s="463">
        <f t="shared" si="67"/>
        <v>258.22000000000003</v>
      </c>
      <c r="R182" s="463">
        <f t="shared" si="68"/>
        <v>106.7</v>
      </c>
      <c r="S182" s="463">
        <f t="shared" si="69"/>
        <v>51.13</v>
      </c>
      <c r="T182" s="463">
        <f t="shared" si="63"/>
        <v>335.2</v>
      </c>
      <c r="U182" s="472"/>
      <c r="V182" s="472"/>
      <c r="W182" s="472"/>
      <c r="X182" s="574">
        <f t="shared" si="70"/>
        <v>258.22000000000003</v>
      </c>
      <c r="Y182" s="422" t="b">
        <f t="shared" si="49"/>
        <v>1</v>
      </c>
      <c r="Z182" s="574">
        <f t="shared" si="50"/>
        <v>416.05</v>
      </c>
      <c r="AA182" s="710">
        <f t="shared" si="51"/>
        <v>0.41</v>
      </c>
    </row>
    <row r="183" spans="1:27" ht="18" hidden="1" customHeight="1" outlineLevel="1" x14ac:dyDescent="0.25">
      <c r="A183" s="479" t="s">
        <v>526</v>
      </c>
      <c r="B183" s="422" t="s">
        <v>527</v>
      </c>
      <c r="C183" s="445" t="s">
        <v>45</v>
      </c>
      <c r="D183" s="475" t="s">
        <v>42</v>
      </c>
      <c r="E183" s="475" t="s">
        <v>54</v>
      </c>
      <c r="F183" s="461">
        <f t="shared" si="61"/>
        <v>53.44</v>
      </c>
      <c r="G183" s="461">
        <v>0.4</v>
      </c>
      <c r="H183" s="461"/>
      <c r="I183" s="461"/>
      <c r="J183" s="461"/>
      <c r="K183" s="461"/>
      <c r="L183" s="725"/>
      <c r="M183" s="463">
        <f t="shared" si="62"/>
        <v>21.38</v>
      </c>
      <c r="N183" s="463">
        <f t="shared" si="64"/>
        <v>2.14</v>
      </c>
      <c r="O183" s="463">
        <f t="shared" si="65"/>
        <v>5.62</v>
      </c>
      <c r="P183" s="463">
        <f t="shared" si="66"/>
        <v>63.93</v>
      </c>
      <c r="Q183" s="463">
        <f t="shared" si="67"/>
        <v>93.07</v>
      </c>
      <c r="R183" s="463">
        <f t="shared" si="68"/>
        <v>38.44</v>
      </c>
      <c r="S183" s="463">
        <f t="shared" si="69"/>
        <v>18.43</v>
      </c>
      <c r="T183" s="463">
        <f t="shared" si="63"/>
        <v>120.8</v>
      </c>
      <c r="U183" s="472"/>
      <c r="V183" s="472"/>
      <c r="W183" s="472"/>
      <c r="X183" s="574">
        <f t="shared" si="70"/>
        <v>93.07</v>
      </c>
      <c r="Y183" s="422" t="b">
        <f t="shared" ref="Y183:Y246" si="71">Q183=X183</f>
        <v>1</v>
      </c>
      <c r="Z183" s="574">
        <f t="shared" ref="Z183:Z246" si="72">Q183+R183+S183</f>
        <v>149.94</v>
      </c>
      <c r="AA183" s="710">
        <f t="shared" ref="AA183:AA246" si="73">R183/Q183</f>
        <v>0.41</v>
      </c>
    </row>
    <row r="184" spans="1:27" ht="18" hidden="1" customHeight="1" outlineLevel="1" x14ac:dyDescent="0.25">
      <c r="A184" s="479" t="s">
        <v>528</v>
      </c>
      <c r="B184" s="422" t="s">
        <v>529</v>
      </c>
      <c r="C184" s="445" t="s">
        <v>45</v>
      </c>
      <c r="D184" s="475" t="s">
        <v>42</v>
      </c>
      <c r="E184" s="475" t="s">
        <v>54</v>
      </c>
      <c r="F184" s="461">
        <f t="shared" si="61"/>
        <v>53.44</v>
      </c>
      <c r="G184" s="461">
        <v>0.71</v>
      </c>
      <c r="H184" s="461"/>
      <c r="I184" s="461"/>
      <c r="J184" s="461"/>
      <c r="K184" s="461"/>
      <c r="L184" s="725"/>
      <c r="M184" s="463">
        <f t="shared" si="62"/>
        <v>37.94</v>
      </c>
      <c r="N184" s="463">
        <f t="shared" si="64"/>
        <v>3.79</v>
      </c>
      <c r="O184" s="463">
        <f t="shared" si="65"/>
        <v>9.98</v>
      </c>
      <c r="P184" s="463">
        <f t="shared" si="66"/>
        <v>113.44</v>
      </c>
      <c r="Q184" s="463">
        <f t="shared" si="67"/>
        <v>165.15</v>
      </c>
      <c r="R184" s="463">
        <f t="shared" si="68"/>
        <v>68.25</v>
      </c>
      <c r="S184" s="463">
        <f t="shared" si="69"/>
        <v>32.700000000000003</v>
      </c>
      <c r="T184" s="463">
        <f t="shared" si="63"/>
        <v>214.4</v>
      </c>
      <c r="U184" s="472"/>
      <c r="V184" s="472"/>
      <c r="W184" s="472"/>
      <c r="X184" s="574">
        <f t="shared" si="70"/>
        <v>165.15</v>
      </c>
      <c r="Y184" s="422" t="b">
        <f t="shared" si="71"/>
        <v>1</v>
      </c>
      <c r="Z184" s="574">
        <f t="shared" si="72"/>
        <v>266.10000000000002</v>
      </c>
      <c r="AA184" s="710">
        <f t="shared" si="73"/>
        <v>0.41</v>
      </c>
    </row>
    <row r="185" spans="1:27" ht="18" hidden="1" customHeight="1" outlineLevel="1" x14ac:dyDescent="0.25">
      <c r="A185" s="774" t="s">
        <v>530</v>
      </c>
      <c r="B185" s="422" t="s">
        <v>531</v>
      </c>
      <c r="C185" s="445" t="s">
        <v>421</v>
      </c>
      <c r="D185" s="475" t="s">
        <v>42</v>
      </c>
      <c r="E185" s="475" t="s">
        <v>54</v>
      </c>
      <c r="F185" s="461">
        <f t="shared" si="61"/>
        <v>53.44</v>
      </c>
      <c r="G185" s="461">
        <v>0.32</v>
      </c>
      <c r="H185" s="461"/>
      <c r="I185" s="461"/>
      <c r="J185" s="461"/>
      <c r="K185" s="461"/>
      <c r="L185" s="725"/>
      <c r="M185" s="463">
        <f t="shared" si="62"/>
        <v>17.100000000000001</v>
      </c>
      <c r="N185" s="463">
        <f t="shared" si="64"/>
        <v>1.71</v>
      </c>
      <c r="O185" s="463">
        <f t="shared" si="65"/>
        <v>4.5</v>
      </c>
      <c r="P185" s="463">
        <f t="shared" si="66"/>
        <v>51.13</v>
      </c>
      <c r="Q185" s="463">
        <f t="shared" si="67"/>
        <v>74.44</v>
      </c>
      <c r="R185" s="463">
        <f t="shared" si="68"/>
        <v>30.73</v>
      </c>
      <c r="S185" s="463">
        <f t="shared" si="69"/>
        <v>14.73</v>
      </c>
      <c r="T185" s="463">
        <f t="shared" si="63"/>
        <v>96.6</v>
      </c>
      <c r="U185" s="472"/>
      <c r="V185" s="472"/>
      <c r="W185" s="472"/>
      <c r="X185" s="574">
        <f t="shared" si="70"/>
        <v>74.44</v>
      </c>
      <c r="Y185" s="422" t="b">
        <f t="shared" si="71"/>
        <v>1</v>
      </c>
      <c r="Z185" s="574">
        <f t="shared" si="72"/>
        <v>119.9</v>
      </c>
      <c r="AA185" s="710">
        <f t="shared" si="73"/>
        <v>0.41</v>
      </c>
    </row>
    <row r="186" spans="1:27" ht="18" hidden="1" customHeight="1" outlineLevel="1" x14ac:dyDescent="0.25">
      <c r="A186" s="774" t="s">
        <v>532</v>
      </c>
      <c r="B186" s="422" t="s">
        <v>533</v>
      </c>
      <c r="C186" s="445" t="s">
        <v>45</v>
      </c>
      <c r="D186" s="475" t="s">
        <v>42</v>
      </c>
      <c r="E186" s="475" t="s">
        <v>54</v>
      </c>
      <c r="F186" s="461">
        <f t="shared" si="61"/>
        <v>53.44</v>
      </c>
      <c r="G186" s="461">
        <v>0.16</v>
      </c>
      <c r="H186" s="461"/>
      <c r="I186" s="461"/>
      <c r="J186" s="461"/>
      <c r="K186" s="461"/>
      <c r="L186" s="725"/>
      <c r="M186" s="463">
        <f t="shared" si="62"/>
        <v>8.5500000000000007</v>
      </c>
      <c r="N186" s="463">
        <f t="shared" si="64"/>
        <v>0.86</v>
      </c>
      <c r="O186" s="463">
        <f t="shared" si="65"/>
        <v>2.25</v>
      </c>
      <c r="P186" s="463">
        <f t="shared" si="66"/>
        <v>25.56</v>
      </c>
      <c r="Q186" s="463">
        <f t="shared" si="67"/>
        <v>37.22</v>
      </c>
      <c r="R186" s="463">
        <f t="shared" si="68"/>
        <v>15.37</v>
      </c>
      <c r="S186" s="463">
        <f t="shared" si="69"/>
        <v>7.37</v>
      </c>
      <c r="T186" s="463">
        <f t="shared" si="63"/>
        <v>48.3</v>
      </c>
      <c r="U186" s="472"/>
      <c r="V186" s="472"/>
      <c r="W186" s="472"/>
      <c r="X186" s="574">
        <f t="shared" si="70"/>
        <v>37.22</v>
      </c>
      <c r="Y186" s="422" t="b">
        <f t="shared" si="71"/>
        <v>1</v>
      </c>
      <c r="Z186" s="574">
        <f t="shared" si="72"/>
        <v>59.96</v>
      </c>
      <c r="AA186" s="710">
        <f t="shared" si="73"/>
        <v>0.41</v>
      </c>
    </row>
    <row r="187" spans="1:27" ht="18" hidden="1" customHeight="1" outlineLevel="1" x14ac:dyDescent="0.25">
      <c r="A187" s="774" t="s">
        <v>534</v>
      </c>
      <c r="B187" s="422" t="s">
        <v>535</v>
      </c>
      <c r="C187" s="445" t="s">
        <v>45</v>
      </c>
      <c r="D187" s="475" t="s">
        <v>42</v>
      </c>
      <c r="E187" s="475" t="s">
        <v>54</v>
      </c>
      <c r="F187" s="461">
        <f t="shared" si="61"/>
        <v>53.44</v>
      </c>
      <c r="G187" s="461">
        <v>0.16</v>
      </c>
      <c r="H187" s="461"/>
      <c r="I187" s="461"/>
      <c r="J187" s="461"/>
      <c r="K187" s="461"/>
      <c r="L187" s="725"/>
      <c r="M187" s="463">
        <f t="shared" si="62"/>
        <v>8.5500000000000007</v>
      </c>
      <c r="N187" s="463">
        <f t="shared" si="64"/>
        <v>0.86</v>
      </c>
      <c r="O187" s="463">
        <f t="shared" si="65"/>
        <v>2.25</v>
      </c>
      <c r="P187" s="463">
        <f t="shared" si="66"/>
        <v>25.56</v>
      </c>
      <c r="Q187" s="463">
        <f t="shared" si="67"/>
        <v>37.22</v>
      </c>
      <c r="R187" s="463">
        <f t="shared" si="68"/>
        <v>15.37</v>
      </c>
      <c r="S187" s="463">
        <f t="shared" si="69"/>
        <v>7.37</v>
      </c>
      <c r="T187" s="463">
        <f t="shared" si="63"/>
        <v>48.3</v>
      </c>
      <c r="U187" s="472"/>
      <c r="V187" s="472"/>
      <c r="W187" s="472"/>
      <c r="X187" s="574">
        <f t="shared" si="70"/>
        <v>37.22</v>
      </c>
      <c r="Y187" s="422" t="b">
        <f t="shared" si="71"/>
        <v>1</v>
      </c>
      <c r="Z187" s="574">
        <f t="shared" si="72"/>
        <v>59.96</v>
      </c>
      <c r="AA187" s="710">
        <f t="shared" si="73"/>
        <v>0.41</v>
      </c>
    </row>
    <row r="188" spans="1:27" ht="18" hidden="1" customHeight="1" outlineLevel="1" x14ac:dyDescent="0.25">
      <c r="A188" s="774" t="s">
        <v>536</v>
      </c>
      <c r="B188" s="422" t="s">
        <v>537</v>
      </c>
      <c r="C188" s="445" t="s">
        <v>45</v>
      </c>
      <c r="D188" s="475" t="s">
        <v>42</v>
      </c>
      <c r="E188" s="475" t="s">
        <v>54</v>
      </c>
      <c r="F188" s="461">
        <f t="shared" si="61"/>
        <v>53.44</v>
      </c>
      <c r="G188" s="461">
        <v>0.6</v>
      </c>
      <c r="H188" s="461"/>
      <c r="I188" s="461"/>
      <c r="J188" s="461"/>
      <c r="K188" s="461"/>
      <c r="L188" s="725"/>
      <c r="M188" s="463">
        <f t="shared" si="62"/>
        <v>32.06</v>
      </c>
      <c r="N188" s="463">
        <f t="shared" si="64"/>
        <v>3.21</v>
      </c>
      <c r="O188" s="463">
        <f t="shared" si="65"/>
        <v>8.43</v>
      </c>
      <c r="P188" s="463">
        <f t="shared" si="66"/>
        <v>95.86</v>
      </c>
      <c r="Q188" s="463">
        <f t="shared" si="67"/>
        <v>139.56</v>
      </c>
      <c r="R188" s="463">
        <f t="shared" si="68"/>
        <v>57.61</v>
      </c>
      <c r="S188" s="463">
        <f t="shared" si="69"/>
        <v>27.62</v>
      </c>
      <c r="T188" s="463">
        <f t="shared" si="63"/>
        <v>181.1</v>
      </c>
      <c r="U188" s="472"/>
      <c r="V188" s="472"/>
      <c r="W188" s="472"/>
      <c r="X188" s="574">
        <f t="shared" si="70"/>
        <v>139.56</v>
      </c>
      <c r="Y188" s="422" t="b">
        <f t="shared" si="71"/>
        <v>1</v>
      </c>
      <c r="Z188" s="574">
        <f t="shared" si="72"/>
        <v>224.79</v>
      </c>
      <c r="AA188" s="710">
        <f t="shared" si="73"/>
        <v>0.41</v>
      </c>
    </row>
    <row r="189" spans="1:27" ht="18" hidden="1" customHeight="1" outlineLevel="1" x14ac:dyDescent="0.25">
      <c r="A189" s="774" t="s">
        <v>538</v>
      </c>
      <c r="B189" s="422" t="s">
        <v>539</v>
      </c>
      <c r="C189" s="445" t="s">
        <v>45</v>
      </c>
      <c r="D189" s="475" t="s">
        <v>42</v>
      </c>
      <c r="E189" s="475" t="s">
        <v>54</v>
      </c>
      <c r="F189" s="461">
        <f t="shared" si="61"/>
        <v>53.44</v>
      </c>
      <c r="G189" s="461">
        <v>0.3</v>
      </c>
      <c r="H189" s="461"/>
      <c r="I189" s="461"/>
      <c r="J189" s="461"/>
      <c r="K189" s="461"/>
      <c r="L189" s="725"/>
      <c r="M189" s="463">
        <f t="shared" si="62"/>
        <v>16.03</v>
      </c>
      <c r="N189" s="463">
        <f t="shared" si="64"/>
        <v>1.6</v>
      </c>
      <c r="O189" s="463">
        <f t="shared" si="65"/>
        <v>4.22</v>
      </c>
      <c r="P189" s="463">
        <f t="shared" si="66"/>
        <v>47.93</v>
      </c>
      <c r="Q189" s="463">
        <f t="shared" si="67"/>
        <v>69.78</v>
      </c>
      <c r="R189" s="463">
        <f t="shared" si="68"/>
        <v>28.85</v>
      </c>
      <c r="S189" s="463">
        <f t="shared" si="69"/>
        <v>13.82</v>
      </c>
      <c r="T189" s="463">
        <f t="shared" si="63"/>
        <v>90.6</v>
      </c>
      <c r="U189" s="472"/>
      <c r="V189" s="472"/>
      <c r="W189" s="472"/>
      <c r="X189" s="574">
        <f t="shared" si="70"/>
        <v>69.78</v>
      </c>
      <c r="Y189" s="422" t="b">
        <f t="shared" si="71"/>
        <v>1</v>
      </c>
      <c r="Z189" s="574">
        <f t="shared" si="72"/>
        <v>112.45</v>
      </c>
      <c r="AA189" s="710">
        <f t="shared" si="73"/>
        <v>0.41</v>
      </c>
    </row>
    <row r="190" spans="1:27" ht="18" hidden="1" customHeight="1" outlineLevel="1" x14ac:dyDescent="0.25">
      <c r="A190" s="774" t="s">
        <v>540</v>
      </c>
      <c r="B190" s="422" t="s">
        <v>541</v>
      </c>
      <c r="C190" s="445" t="s">
        <v>45</v>
      </c>
      <c r="D190" s="475" t="s">
        <v>42</v>
      </c>
      <c r="E190" s="475" t="s">
        <v>54</v>
      </c>
      <c r="F190" s="461">
        <f t="shared" si="61"/>
        <v>53.44</v>
      </c>
      <c r="G190" s="461">
        <v>0.3</v>
      </c>
      <c r="H190" s="461"/>
      <c r="I190" s="461"/>
      <c r="J190" s="461"/>
      <c r="K190" s="461"/>
      <c r="L190" s="725"/>
      <c r="M190" s="463">
        <f t="shared" si="62"/>
        <v>16.03</v>
      </c>
      <c r="N190" s="463">
        <f t="shared" si="64"/>
        <v>1.6</v>
      </c>
      <c r="O190" s="463">
        <f t="shared" si="65"/>
        <v>4.22</v>
      </c>
      <c r="P190" s="463">
        <f t="shared" si="66"/>
        <v>47.93</v>
      </c>
      <c r="Q190" s="463">
        <f t="shared" si="67"/>
        <v>69.78</v>
      </c>
      <c r="R190" s="463">
        <f t="shared" si="68"/>
        <v>28.85</v>
      </c>
      <c r="S190" s="463">
        <f t="shared" si="69"/>
        <v>13.82</v>
      </c>
      <c r="T190" s="463">
        <f t="shared" si="63"/>
        <v>90.6</v>
      </c>
      <c r="U190" s="472"/>
      <c r="V190" s="472"/>
      <c r="W190" s="472"/>
      <c r="X190" s="574">
        <f t="shared" si="70"/>
        <v>69.78</v>
      </c>
      <c r="Y190" s="422" t="b">
        <f t="shared" si="71"/>
        <v>1</v>
      </c>
      <c r="Z190" s="574">
        <f t="shared" si="72"/>
        <v>112.45</v>
      </c>
      <c r="AA190" s="710">
        <f t="shared" si="73"/>
        <v>0.41</v>
      </c>
    </row>
    <row r="191" spans="1:27" ht="18" hidden="1" customHeight="1" outlineLevel="1" x14ac:dyDescent="0.25">
      <c r="A191" s="479" t="s">
        <v>542</v>
      </c>
      <c r="B191" s="423" t="s">
        <v>543</v>
      </c>
      <c r="C191" s="445" t="s">
        <v>45</v>
      </c>
      <c r="D191" s="475" t="s">
        <v>42</v>
      </c>
      <c r="E191" s="475" t="s">
        <v>54</v>
      </c>
      <c r="F191" s="461">
        <f t="shared" si="61"/>
        <v>53.44</v>
      </c>
      <c r="G191" s="461">
        <v>0.33</v>
      </c>
      <c r="H191" s="461"/>
      <c r="I191" s="461"/>
      <c r="J191" s="461"/>
      <c r="K191" s="461"/>
      <c r="L191" s="725"/>
      <c r="M191" s="463">
        <f t="shared" si="62"/>
        <v>17.64</v>
      </c>
      <c r="N191" s="463">
        <f t="shared" si="64"/>
        <v>1.76</v>
      </c>
      <c r="O191" s="463">
        <f t="shared" si="65"/>
        <v>4.6399999999999997</v>
      </c>
      <c r="P191" s="463">
        <f t="shared" si="66"/>
        <v>52.74</v>
      </c>
      <c r="Q191" s="463">
        <f t="shared" si="67"/>
        <v>76.78</v>
      </c>
      <c r="R191" s="463">
        <f t="shared" si="68"/>
        <v>31.75</v>
      </c>
      <c r="S191" s="463">
        <f t="shared" si="69"/>
        <v>15.21</v>
      </c>
      <c r="T191" s="463">
        <f t="shared" si="63"/>
        <v>99.7</v>
      </c>
      <c r="U191" s="472"/>
      <c r="V191" s="472"/>
      <c r="W191" s="472"/>
      <c r="X191" s="574">
        <f t="shared" si="70"/>
        <v>76.78</v>
      </c>
      <c r="Y191" s="422" t="b">
        <f t="shared" si="71"/>
        <v>1</v>
      </c>
      <c r="Z191" s="574">
        <f t="shared" si="72"/>
        <v>123.74</v>
      </c>
      <c r="AA191" s="710">
        <f t="shared" si="73"/>
        <v>0.41</v>
      </c>
    </row>
    <row r="192" spans="1:27" ht="18" hidden="1" customHeight="1" outlineLevel="1" x14ac:dyDescent="0.25">
      <c r="A192" s="479" t="s">
        <v>544</v>
      </c>
      <c r="B192" s="422" t="s">
        <v>545</v>
      </c>
      <c r="C192" s="445" t="s">
        <v>45</v>
      </c>
      <c r="D192" s="475" t="s">
        <v>42</v>
      </c>
      <c r="E192" s="475" t="s">
        <v>54</v>
      </c>
      <c r="F192" s="461">
        <f t="shared" si="61"/>
        <v>53.44</v>
      </c>
      <c r="G192" s="461">
        <v>1</v>
      </c>
      <c r="H192" s="461"/>
      <c r="I192" s="461"/>
      <c r="J192" s="461"/>
      <c r="K192" s="461"/>
      <c r="L192" s="725"/>
      <c r="M192" s="463">
        <f t="shared" si="62"/>
        <v>53.44</v>
      </c>
      <c r="N192" s="463">
        <f t="shared" si="64"/>
        <v>5.34</v>
      </c>
      <c r="O192" s="463">
        <f t="shared" si="65"/>
        <v>14.05</v>
      </c>
      <c r="P192" s="463">
        <f t="shared" si="66"/>
        <v>159.79</v>
      </c>
      <c r="Q192" s="463">
        <f t="shared" si="67"/>
        <v>232.62</v>
      </c>
      <c r="R192" s="463">
        <f t="shared" si="68"/>
        <v>96.06</v>
      </c>
      <c r="S192" s="463">
        <f t="shared" si="69"/>
        <v>46.05</v>
      </c>
      <c r="T192" s="463">
        <f t="shared" si="63"/>
        <v>301.89999999999998</v>
      </c>
      <c r="U192" s="472"/>
      <c r="V192" s="472"/>
      <c r="W192" s="472"/>
      <c r="X192" s="574">
        <f t="shared" si="70"/>
        <v>232.62</v>
      </c>
      <c r="Y192" s="422" t="b">
        <f t="shared" si="71"/>
        <v>1</v>
      </c>
      <c r="Z192" s="574">
        <f t="shared" si="72"/>
        <v>374.73</v>
      </c>
      <c r="AA192" s="710">
        <f t="shared" si="73"/>
        <v>0.41</v>
      </c>
    </row>
    <row r="193" spans="1:27" ht="18" hidden="1" customHeight="1" outlineLevel="1" x14ac:dyDescent="0.25">
      <c r="A193" s="479" t="s">
        <v>546</v>
      </c>
      <c r="B193" s="423" t="s">
        <v>547</v>
      </c>
      <c r="C193" s="445" t="s">
        <v>45</v>
      </c>
      <c r="D193" s="475" t="s">
        <v>42</v>
      </c>
      <c r="E193" s="475" t="s">
        <v>54</v>
      </c>
      <c r="F193" s="461">
        <f t="shared" si="61"/>
        <v>53.44</v>
      </c>
      <c r="G193" s="461">
        <v>1</v>
      </c>
      <c r="H193" s="461"/>
      <c r="I193" s="461"/>
      <c r="J193" s="461"/>
      <c r="K193" s="461"/>
      <c r="L193" s="725"/>
      <c r="M193" s="463">
        <f t="shared" si="62"/>
        <v>53.44</v>
      </c>
      <c r="N193" s="463">
        <f t="shared" si="64"/>
        <v>5.34</v>
      </c>
      <c r="O193" s="463">
        <f t="shared" si="65"/>
        <v>14.05</v>
      </c>
      <c r="P193" s="463">
        <f t="shared" si="66"/>
        <v>159.79</v>
      </c>
      <c r="Q193" s="463">
        <f t="shared" si="67"/>
        <v>232.62</v>
      </c>
      <c r="R193" s="463">
        <f t="shared" si="68"/>
        <v>96.06</v>
      </c>
      <c r="S193" s="463">
        <f t="shared" si="69"/>
        <v>46.05</v>
      </c>
      <c r="T193" s="463">
        <f t="shared" si="63"/>
        <v>301.89999999999998</v>
      </c>
      <c r="U193" s="472"/>
      <c r="V193" s="472"/>
      <c r="W193" s="472"/>
      <c r="X193" s="574">
        <f t="shared" si="70"/>
        <v>232.62</v>
      </c>
      <c r="Y193" s="422" t="b">
        <f t="shared" si="71"/>
        <v>1</v>
      </c>
      <c r="Z193" s="574">
        <f t="shared" si="72"/>
        <v>374.73</v>
      </c>
      <c r="AA193" s="710">
        <f t="shared" si="73"/>
        <v>0.41</v>
      </c>
    </row>
    <row r="194" spans="1:27" ht="18" hidden="1" customHeight="1" outlineLevel="1" x14ac:dyDescent="0.25">
      <c r="A194" s="479" t="s">
        <v>548</v>
      </c>
      <c r="B194" s="422" t="s">
        <v>549</v>
      </c>
      <c r="C194" s="445" t="s">
        <v>550</v>
      </c>
      <c r="D194" s="475" t="s">
        <v>42</v>
      </c>
      <c r="E194" s="475" t="s">
        <v>54</v>
      </c>
      <c r="F194" s="461">
        <f t="shared" si="61"/>
        <v>53.44</v>
      </c>
      <c r="G194" s="461">
        <v>1</v>
      </c>
      <c r="H194" s="461"/>
      <c r="I194" s="461"/>
      <c r="J194" s="461"/>
      <c r="K194" s="461"/>
      <c r="L194" s="725"/>
      <c r="M194" s="463">
        <f t="shared" si="62"/>
        <v>53.44</v>
      </c>
      <c r="N194" s="463">
        <f t="shared" si="64"/>
        <v>5.34</v>
      </c>
      <c r="O194" s="463">
        <f t="shared" si="65"/>
        <v>14.05</v>
      </c>
      <c r="P194" s="463">
        <f t="shared" si="66"/>
        <v>159.79</v>
      </c>
      <c r="Q194" s="463">
        <f t="shared" si="67"/>
        <v>232.62</v>
      </c>
      <c r="R194" s="463">
        <f t="shared" si="68"/>
        <v>96.06</v>
      </c>
      <c r="S194" s="463">
        <f t="shared" si="69"/>
        <v>46.05</v>
      </c>
      <c r="T194" s="463">
        <f t="shared" si="63"/>
        <v>301.89999999999998</v>
      </c>
      <c r="U194" s="472"/>
      <c r="V194" s="472"/>
      <c r="W194" s="472"/>
      <c r="X194" s="574">
        <f t="shared" si="70"/>
        <v>232.62</v>
      </c>
      <c r="Y194" s="422" t="b">
        <f t="shared" si="71"/>
        <v>1</v>
      </c>
      <c r="Z194" s="574">
        <f t="shared" si="72"/>
        <v>374.73</v>
      </c>
      <c r="AA194" s="710">
        <f t="shared" si="73"/>
        <v>0.41</v>
      </c>
    </row>
    <row r="195" spans="1:27" ht="18" hidden="1" customHeight="1" outlineLevel="1" x14ac:dyDescent="0.25">
      <c r="A195" s="479" t="s">
        <v>551</v>
      </c>
      <c r="B195" s="422" t="s">
        <v>552</v>
      </c>
      <c r="C195" s="445" t="s">
        <v>553</v>
      </c>
      <c r="D195" s="475" t="s">
        <v>42</v>
      </c>
      <c r="E195" s="475" t="s">
        <v>54</v>
      </c>
      <c r="F195" s="461">
        <f t="shared" si="61"/>
        <v>53.44</v>
      </c>
      <c r="G195" s="461">
        <v>0.7</v>
      </c>
      <c r="H195" s="461"/>
      <c r="I195" s="461"/>
      <c r="J195" s="461"/>
      <c r="K195" s="461"/>
      <c r="L195" s="725"/>
      <c r="M195" s="463">
        <f t="shared" si="62"/>
        <v>37.409999999999997</v>
      </c>
      <c r="N195" s="463">
        <f t="shared" si="64"/>
        <v>3.74</v>
      </c>
      <c r="O195" s="463">
        <f t="shared" si="65"/>
        <v>9.84</v>
      </c>
      <c r="P195" s="463">
        <f t="shared" si="66"/>
        <v>111.86</v>
      </c>
      <c r="Q195" s="463">
        <f t="shared" si="67"/>
        <v>162.85</v>
      </c>
      <c r="R195" s="463">
        <f t="shared" si="68"/>
        <v>67.290000000000006</v>
      </c>
      <c r="S195" s="463">
        <f t="shared" si="69"/>
        <v>32.25</v>
      </c>
      <c r="T195" s="463">
        <f t="shared" si="63"/>
        <v>211.4</v>
      </c>
      <c r="U195" s="472"/>
      <c r="V195" s="472"/>
      <c r="W195" s="472"/>
      <c r="X195" s="574">
        <f t="shared" si="70"/>
        <v>162.85</v>
      </c>
      <c r="Y195" s="422" t="b">
        <f t="shared" si="71"/>
        <v>1</v>
      </c>
      <c r="Z195" s="574">
        <f t="shared" si="72"/>
        <v>262.39</v>
      </c>
      <c r="AA195" s="710">
        <f t="shared" si="73"/>
        <v>0.41</v>
      </c>
    </row>
    <row r="196" spans="1:27" ht="18" hidden="1" customHeight="1" outlineLevel="1" x14ac:dyDescent="0.25">
      <c r="A196" s="479" t="s">
        <v>554</v>
      </c>
      <c r="B196" s="422" t="s">
        <v>555</v>
      </c>
      <c r="C196" s="445" t="s">
        <v>45</v>
      </c>
      <c r="D196" s="475" t="s">
        <v>42</v>
      </c>
      <c r="E196" s="475" t="s">
        <v>54</v>
      </c>
      <c r="F196" s="461">
        <f t="shared" si="61"/>
        <v>53.44</v>
      </c>
      <c r="G196" s="461">
        <v>1.08</v>
      </c>
      <c r="H196" s="461"/>
      <c r="I196" s="461"/>
      <c r="J196" s="461"/>
      <c r="K196" s="461"/>
      <c r="L196" s="725"/>
      <c r="M196" s="463">
        <f t="shared" si="62"/>
        <v>57.72</v>
      </c>
      <c r="N196" s="463">
        <f t="shared" si="64"/>
        <v>5.77</v>
      </c>
      <c r="O196" s="463">
        <f t="shared" si="65"/>
        <v>15.18</v>
      </c>
      <c r="P196" s="463">
        <f t="shared" si="66"/>
        <v>172.58</v>
      </c>
      <c r="Q196" s="463">
        <f t="shared" si="67"/>
        <v>251.25</v>
      </c>
      <c r="R196" s="463">
        <f t="shared" si="68"/>
        <v>103.78</v>
      </c>
      <c r="S196" s="463">
        <f t="shared" si="69"/>
        <v>49.74</v>
      </c>
      <c r="T196" s="463">
        <f t="shared" si="63"/>
        <v>326.10000000000002</v>
      </c>
      <c r="U196" s="472"/>
      <c r="V196" s="472"/>
      <c r="W196" s="472"/>
      <c r="X196" s="574">
        <f t="shared" si="70"/>
        <v>251.25</v>
      </c>
      <c r="Y196" s="422" t="b">
        <f t="shared" si="71"/>
        <v>1</v>
      </c>
      <c r="Z196" s="574">
        <f t="shared" si="72"/>
        <v>404.77</v>
      </c>
      <c r="AA196" s="710">
        <f t="shared" si="73"/>
        <v>0.41</v>
      </c>
    </row>
    <row r="197" spans="1:27" ht="18" hidden="1" customHeight="1" outlineLevel="1" x14ac:dyDescent="0.25">
      <c r="A197" s="479" t="s">
        <v>556</v>
      </c>
      <c r="B197" s="422" t="s">
        <v>557</v>
      </c>
      <c r="C197" s="445" t="s">
        <v>424</v>
      </c>
      <c r="D197" s="475" t="s">
        <v>42</v>
      </c>
      <c r="E197" s="475" t="s">
        <v>54</v>
      </c>
      <c r="F197" s="461">
        <f t="shared" si="61"/>
        <v>53.44</v>
      </c>
      <c r="G197" s="461">
        <v>0.6</v>
      </c>
      <c r="H197" s="461"/>
      <c r="I197" s="461"/>
      <c r="J197" s="461"/>
      <c r="K197" s="461"/>
      <c r="L197" s="725"/>
      <c r="M197" s="463">
        <f t="shared" si="62"/>
        <v>32.06</v>
      </c>
      <c r="N197" s="463">
        <f t="shared" si="64"/>
        <v>3.21</v>
      </c>
      <c r="O197" s="463">
        <f t="shared" si="65"/>
        <v>8.43</v>
      </c>
      <c r="P197" s="463">
        <f t="shared" si="66"/>
        <v>95.86</v>
      </c>
      <c r="Q197" s="463">
        <f t="shared" si="67"/>
        <v>139.56</v>
      </c>
      <c r="R197" s="463">
        <f t="shared" si="68"/>
        <v>57.61</v>
      </c>
      <c r="S197" s="463">
        <f t="shared" si="69"/>
        <v>27.62</v>
      </c>
      <c r="T197" s="463">
        <f t="shared" si="63"/>
        <v>181.1</v>
      </c>
      <c r="U197" s="472"/>
      <c r="V197" s="472"/>
      <c r="W197" s="472"/>
      <c r="X197" s="574">
        <f t="shared" si="70"/>
        <v>139.56</v>
      </c>
      <c r="Y197" s="422" t="b">
        <f t="shared" si="71"/>
        <v>1</v>
      </c>
      <c r="Z197" s="574">
        <f t="shared" si="72"/>
        <v>224.79</v>
      </c>
      <c r="AA197" s="710">
        <f t="shared" si="73"/>
        <v>0.41</v>
      </c>
    </row>
    <row r="198" spans="1:27" ht="18" hidden="1" customHeight="1" outlineLevel="1" x14ac:dyDescent="0.25">
      <c r="A198" s="479" t="s">
        <v>558</v>
      </c>
      <c r="B198" s="422" t="s">
        <v>559</v>
      </c>
      <c r="C198" s="445" t="s">
        <v>499</v>
      </c>
      <c r="D198" s="475" t="s">
        <v>42</v>
      </c>
      <c r="E198" s="475" t="s">
        <v>54</v>
      </c>
      <c r="F198" s="461">
        <f t="shared" si="61"/>
        <v>53.44</v>
      </c>
      <c r="G198" s="461">
        <v>0.75</v>
      </c>
      <c r="H198" s="461"/>
      <c r="I198" s="461"/>
      <c r="J198" s="461"/>
      <c r="K198" s="461"/>
      <c r="L198" s="725"/>
      <c r="M198" s="463">
        <f t="shared" si="62"/>
        <v>40.08</v>
      </c>
      <c r="N198" s="463">
        <f t="shared" si="64"/>
        <v>4.01</v>
      </c>
      <c r="O198" s="463">
        <f t="shared" si="65"/>
        <v>10.54</v>
      </c>
      <c r="P198" s="463">
        <f t="shared" si="66"/>
        <v>119.84</v>
      </c>
      <c r="Q198" s="463">
        <f t="shared" si="67"/>
        <v>174.47</v>
      </c>
      <c r="R198" s="463">
        <f t="shared" si="68"/>
        <v>72.11</v>
      </c>
      <c r="S198" s="463">
        <f t="shared" si="69"/>
        <v>34.549999999999997</v>
      </c>
      <c r="T198" s="463">
        <f t="shared" si="63"/>
        <v>226.5</v>
      </c>
      <c r="U198" s="472"/>
      <c r="V198" s="472"/>
      <c r="W198" s="472"/>
      <c r="X198" s="574">
        <f t="shared" si="70"/>
        <v>174.47</v>
      </c>
      <c r="Y198" s="422" t="b">
        <f t="shared" si="71"/>
        <v>1</v>
      </c>
      <c r="Z198" s="574">
        <f t="shared" si="72"/>
        <v>281.13</v>
      </c>
      <c r="AA198" s="710">
        <f t="shared" si="73"/>
        <v>0.41</v>
      </c>
    </row>
    <row r="199" spans="1:27" ht="18" hidden="1" customHeight="1" outlineLevel="1" x14ac:dyDescent="0.25">
      <c r="A199" s="479" t="s">
        <v>560</v>
      </c>
      <c r="B199" s="422" t="s">
        <v>561</v>
      </c>
      <c r="C199" s="445" t="s">
        <v>562</v>
      </c>
      <c r="D199" s="475" t="s">
        <v>42</v>
      </c>
      <c r="E199" s="475" t="s">
        <v>54</v>
      </c>
      <c r="F199" s="461">
        <f t="shared" si="61"/>
        <v>53.44</v>
      </c>
      <c r="G199" s="461">
        <v>0.24</v>
      </c>
      <c r="H199" s="461"/>
      <c r="I199" s="461"/>
      <c r="J199" s="461"/>
      <c r="K199" s="461"/>
      <c r="L199" s="725"/>
      <c r="M199" s="463">
        <f t="shared" si="62"/>
        <v>12.83</v>
      </c>
      <c r="N199" s="463">
        <f t="shared" si="64"/>
        <v>1.28</v>
      </c>
      <c r="O199" s="463">
        <f t="shared" si="65"/>
        <v>3.37</v>
      </c>
      <c r="P199" s="463">
        <f t="shared" si="66"/>
        <v>38.36</v>
      </c>
      <c r="Q199" s="463">
        <f t="shared" si="67"/>
        <v>55.84</v>
      </c>
      <c r="R199" s="463">
        <f t="shared" si="68"/>
        <v>23.08</v>
      </c>
      <c r="S199" s="463">
        <f t="shared" si="69"/>
        <v>11.06</v>
      </c>
      <c r="T199" s="463">
        <f t="shared" si="63"/>
        <v>72.5</v>
      </c>
      <c r="U199" s="472"/>
      <c r="V199" s="472"/>
      <c r="W199" s="472"/>
      <c r="X199" s="574">
        <f t="shared" si="70"/>
        <v>55.84</v>
      </c>
      <c r="Y199" s="422" t="b">
        <f t="shared" si="71"/>
        <v>1</v>
      </c>
      <c r="Z199" s="574">
        <f t="shared" si="72"/>
        <v>89.98</v>
      </c>
      <c r="AA199" s="710">
        <f t="shared" si="73"/>
        <v>0.41</v>
      </c>
    </row>
    <row r="200" spans="1:27" ht="18" hidden="1" customHeight="1" outlineLevel="1" x14ac:dyDescent="0.25">
      <c r="A200" s="479" t="s">
        <v>563</v>
      </c>
      <c r="B200" s="422" t="s">
        <v>564</v>
      </c>
      <c r="C200" s="445" t="s">
        <v>421</v>
      </c>
      <c r="D200" s="475" t="s">
        <v>42</v>
      </c>
      <c r="E200" s="475" t="s">
        <v>54</v>
      </c>
      <c r="F200" s="461">
        <f t="shared" si="61"/>
        <v>53.44</v>
      </c>
      <c r="G200" s="461">
        <v>0.2</v>
      </c>
      <c r="H200" s="461"/>
      <c r="I200" s="461"/>
      <c r="J200" s="461"/>
      <c r="K200" s="461"/>
      <c r="L200" s="725"/>
      <c r="M200" s="463">
        <f t="shared" si="62"/>
        <v>10.69</v>
      </c>
      <c r="N200" s="463">
        <f t="shared" si="64"/>
        <v>1.07</v>
      </c>
      <c r="O200" s="463">
        <f t="shared" si="65"/>
        <v>2.81</v>
      </c>
      <c r="P200" s="463">
        <f t="shared" si="66"/>
        <v>31.96</v>
      </c>
      <c r="Q200" s="463">
        <f t="shared" si="67"/>
        <v>46.53</v>
      </c>
      <c r="R200" s="463">
        <f t="shared" si="68"/>
        <v>19.23</v>
      </c>
      <c r="S200" s="463">
        <f t="shared" si="69"/>
        <v>9.2100000000000009</v>
      </c>
      <c r="T200" s="463">
        <f t="shared" si="63"/>
        <v>60.4</v>
      </c>
      <c r="U200" s="472"/>
      <c r="V200" s="472"/>
      <c r="W200" s="472"/>
      <c r="X200" s="574">
        <f t="shared" si="70"/>
        <v>46.53</v>
      </c>
      <c r="Y200" s="422" t="b">
        <f t="shared" si="71"/>
        <v>1</v>
      </c>
      <c r="Z200" s="574">
        <f t="shared" si="72"/>
        <v>74.97</v>
      </c>
      <c r="AA200" s="710">
        <f t="shared" si="73"/>
        <v>0.41</v>
      </c>
    </row>
    <row r="201" spans="1:27" ht="18" hidden="1" customHeight="1" outlineLevel="1" x14ac:dyDescent="0.25">
      <c r="A201" s="479" t="s">
        <v>565</v>
      </c>
      <c r="B201" s="422" t="s">
        <v>566</v>
      </c>
      <c r="C201" s="445" t="s">
        <v>567</v>
      </c>
      <c r="D201" s="475" t="s">
        <v>42</v>
      </c>
      <c r="E201" s="475" t="s">
        <v>54</v>
      </c>
      <c r="F201" s="461">
        <f t="shared" si="61"/>
        <v>53.44</v>
      </c>
      <c r="G201" s="461">
        <v>0.65</v>
      </c>
      <c r="H201" s="461"/>
      <c r="I201" s="461"/>
      <c r="J201" s="461"/>
      <c r="K201" s="461"/>
      <c r="L201" s="725"/>
      <c r="M201" s="463">
        <f t="shared" si="62"/>
        <v>34.74</v>
      </c>
      <c r="N201" s="463">
        <f t="shared" si="64"/>
        <v>3.47</v>
      </c>
      <c r="O201" s="463">
        <f t="shared" si="65"/>
        <v>9.14</v>
      </c>
      <c r="P201" s="463">
        <f t="shared" si="66"/>
        <v>103.87</v>
      </c>
      <c r="Q201" s="463">
        <f t="shared" si="67"/>
        <v>151.22</v>
      </c>
      <c r="R201" s="463">
        <f t="shared" si="68"/>
        <v>62.49</v>
      </c>
      <c r="S201" s="463">
        <f t="shared" si="69"/>
        <v>29.94</v>
      </c>
      <c r="T201" s="463">
        <f t="shared" si="63"/>
        <v>196.3</v>
      </c>
      <c r="U201" s="472"/>
      <c r="V201" s="472"/>
      <c r="W201" s="472"/>
      <c r="X201" s="574">
        <f t="shared" si="70"/>
        <v>151.22</v>
      </c>
      <c r="Y201" s="422" t="b">
        <f t="shared" si="71"/>
        <v>1</v>
      </c>
      <c r="Z201" s="574">
        <f t="shared" si="72"/>
        <v>243.65</v>
      </c>
      <c r="AA201" s="710">
        <f t="shared" si="73"/>
        <v>0.41</v>
      </c>
    </row>
    <row r="202" spans="1:27" ht="18" hidden="1" customHeight="1" outlineLevel="1" x14ac:dyDescent="0.25">
      <c r="A202" s="479" t="s">
        <v>568</v>
      </c>
      <c r="B202" s="422" t="s">
        <v>569</v>
      </c>
      <c r="C202" s="445" t="s">
        <v>570</v>
      </c>
      <c r="D202" s="475" t="s">
        <v>42</v>
      </c>
      <c r="E202" s="475" t="s">
        <v>54</v>
      </c>
      <c r="F202" s="461">
        <f t="shared" si="61"/>
        <v>53.44</v>
      </c>
      <c r="G202" s="461">
        <v>0.7</v>
      </c>
      <c r="H202" s="461"/>
      <c r="I202" s="461"/>
      <c r="J202" s="461"/>
      <c r="K202" s="461"/>
      <c r="L202" s="725"/>
      <c r="M202" s="463">
        <f t="shared" si="62"/>
        <v>37.409999999999997</v>
      </c>
      <c r="N202" s="463">
        <f t="shared" si="64"/>
        <v>3.74</v>
      </c>
      <c r="O202" s="463">
        <f t="shared" si="65"/>
        <v>9.84</v>
      </c>
      <c r="P202" s="463">
        <f t="shared" si="66"/>
        <v>111.86</v>
      </c>
      <c r="Q202" s="463">
        <f t="shared" si="67"/>
        <v>162.85</v>
      </c>
      <c r="R202" s="463">
        <f t="shared" si="68"/>
        <v>67.290000000000006</v>
      </c>
      <c r="S202" s="463">
        <f t="shared" si="69"/>
        <v>32.25</v>
      </c>
      <c r="T202" s="463">
        <f t="shared" si="63"/>
        <v>211.4</v>
      </c>
      <c r="U202" s="472"/>
      <c r="V202" s="472"/>
      <c r="W202" s="472"/>
      <c r="X202" s="574">
        <f t="shared" si="70"/>
        <v>162.85</v>
      </c>
      <c r="Y202" s="422" t="b">
        <f t="shared" si="71"/>
        <v>1</v>
      </c>
      <c r="Z202" s="574">
        <f t="shared" si="72"/>
        <v>262.39</v>
      </c>
      <c r="AA202" s="710">
        <f t="shared" si="73"/>
        <v>0.41</v>
      </c>
    </row>
    <row r="203" spans="1:27" ht="18" hidden="1" customHeight="1" outlineLevel="1" x14ac:dyDescent="0.25">
      <c r="A203" s="479" t="s">
        <v>571</v>
      </c>
      <c r="B203" s="422" t="s">
        <v>572</v>
      </c>
      <c r="C203" s="445" t="s">
        <v>45</v>
      </c>
      <c r="D203" s="475" t="s">
        <v>42</v>
      </c>
      <c r="E203" s="475" t="s">
        <v>54</v>
      </c>
      <c r="F203" s="461">
        <f t="shared" si="61"/>
        <v>53.44</v>
      </c>
      <c r="G203" s="461">
        <v>0.35</v>
      </c>
      <c r="H203" s="461"/>
      <c r="I203" s="461"/>
      <c r="J203" s="461"/>
      <c r="K203" s="461"/>
      <c r="L203" s="725"/>
      <c r="M203" s="463">
        <f t="shared" si="62"/>
        <v>18.7</v>
      </c>
      <c r="N203" s="463">
        <f t="shared" si="64"/>
        <v>1.87</v>
      </c>
      <c r="O203" s="463">
        <f t="shared" si="65"/>
        <v>4.92</v>
      </c>
      <c r="P203" s="463">
        <f t="shared" si="66"/>
        <v>55.91</v>
      </c>
      <c r="Q203" s="463">
        <f t="shared" si="67"/>
        <v>81.400000000000006</v>
      </c>
      <c r="R203" s="463">
        <f t="shared" si="68"/>
        <v>33.67</v>
      </c>
      <c r="S203" s="463">
        <f t="shared" si="69"/>
        <v>16.12</v>
      </c>
      <c r="T203" s="463">
        <f t="shared" si="63"/>
        <v>105.7</v>
      </c>
      <c r="U203" s="472"/>
      <c r="V203" s="472"/>
      <c r="W203" s="472"/>
      <c r="X203" s="574">
        <f t="shared" si="70"/>
        <v>81.400000000000006</v>
      </c>
      <c r="Y203" s="422" t="b">
        <f t="shared" si="71"/>
        <v>1</v>
      </c>
      <c r="Z203" s="574">
        <f t="shared" si="72"/>
        <v>131.19</v>
      </c>
      <c r="AA203" s="710">
        <f t="shared" si="73"/>
        <v>0.41</v>
      </c>
    </row>
    <row r="204" spans="1:27" ht="18" hidden="1" customHeight="1" outlineLevel="1" x14ac:dyDescent="0.25">
      <c r="A204" s="479" t="s">
        <v>573</v>
      </c>
      <c r="B204" s="422" t="s">
        <v>574</v>
      </c>
      <c r="C204" s="445" t="s">
        <v>45</v>
      </c>
      <c r="D204" s="475" t="s">
        <v>42</v>
      </c>
      <c r="E204" s="475" t="s">
        <v>54</v>
      </c>
      <c r="F204" s="461">
        <f t="shared" si="61"/>
        <v>53.44</v>
      </c>
      <c r="G204" s="461">
        <v>0.35</v>
      </c>
      <c r="H204" s="461"/>
      <c r="I204" s="461"/>
      <c r="J204" s="461"/>
      <c r="K204" s="461"/>
      <c r="L204" s="725"/>
      <c r="M204" s="463">
        <f t="shared" si="62"/>
        <v>18.7</v>
      </c>
      <c r="N204" s="463">
        <f t="shared" si="64"/>
        <v>1.87</v>
      </c>
      <c r="O204" s="463">
        <f t="shared" si="65"/>
        <v>4.92</v>
      </c>
      <c r="P204" s="463">
        <f t="shared" si="66"/>
        <v>55.91</v>
      </c>
      <c r="Q204" s="463">
        <f t="shared" si="67"/>
        <v>81.400000000000006</v>
      </c>
      <c r="R204" s="463">
        <f t="shared" si="68"/>
        <v>33.67</v>
      </c>
      <c r="S204" s="463">
        <f t="shared" si="69"/>
        <v>16.12</v>
      </c>
      <c r="T204" s="463">
        <f t="shared" si="63"/>
        <v>105.7</v>
      </c>
      <c r="U204" s="472"/>
      <c r="V204" s="472"/>
      <c r="W204" s="472"/>
      <c r="X204" s="574">
        <f t="shared" si="70"/>
        <v>81.400000000000006</v>
      </c>
      <c r="Y204" s="422" t="b">
        <f t="shared" si="71"/>
        <v>1</v>
      </c>
      <c r="Z204" s="574">
        <f t="shared" si="72"/>
        <v>131.19</v>
      </c>
      <c r="AA204" s="710">
        <f t="shared" si="73"/>
        <v>0.41</v>
      </c>
    </row>
    <row r="205" spans="1:27" ht="18" hidden="1" customHeight="1" outlineLevel="1" x14ac:dyDescent="0.25">
      <c r="A205" s="479" t="s">
        <v>575</v>
      </c>
      <c r="B205" s="422" t="s">
        <v>576</v>
      </c>
      <c r="C205" s="445" t="s">
        <v>421</v>
      </c>
      <c r="D205" s="475" t="s">
        <v>42</v>
      </c>
      <c r="E205" s="475" t="s">
        <v>54</v>
      </c>
      <c r="F205" s="461">
        <f t="shared" si="61"/>
        <v>53.44</v>
      </c>
      <c r="G205" s="461">
        <v>2</v>
      </c>
      <c r="H205" s="461"/>
      <c r="I205" s="461"/>
      <c r="J205" s="461"/>
      <c r="K205" s="461"/>
      <c r="L205" s="725"/>
      <c r="M205" s="463">
        <f t="shared" si="62"/>
        <v>106.88</v>
      </c>
      <c r="N205" s="463">
        <f t="shared" si="64"/>
        <v>10.69</v>
      </c>
      <c r="O205" s="463">
        <f t="shared" si="65"/>
        <v>28.11</v>
      </c>
      <c r="P205" s="463">
        <f t="shared" si="66"/>
        <v>319.57</v>
      </c>
      <c r="Q205" s="463">
        <f t="shared" si="67"/>
        <v>465.25</v>
      </c>
      <c r="R205" s="463">
        <f t="shared" si="68"/>
        <v>192.21</v>
      </c>
      <c r="S205" s="463">
        <f t="shared" si="69"/>
        <v>92.12</v>
      </c>
      <c r="T205" s="463">
        <f t="shared" si="63"/>
        <v>603.9</v>
      </c>
      <c r="U205" s="472"/>
      <c r="V205" s="472"/>
      <c r="W205" s="472"/>
      <c r="X205" s="574">
        <f t="shared" si="70"/>
        <v>465.25</v>
      </c>
      <c r="Y205" s="422" t="b">
        <f t="shared" si="71"/>
        <v>1</v>
      </c>
      <c r="Z205" s="574">
        <f t="shared" si="72"/>
        <v>749.58</v>
      </c>
      <c r="AA205" s="710">
        <f t="shared" si="73"/>
        <v>0.41</v>
      </c>
    </row>
    <row r="206" spans="1:27" ht="18" hidden="1" customHeight="1" outlineLevel="1" x14ac:dyDescent="0.25">
      <c r="A206" s="479" t="s">
        <v>577</v>
      </c>
      <c r="B206" s="422" t="s">
        <v>578</v>
      </c>
      <c r="C206" s="445" t="s">
        <v>45</v>
      </c>
      <c r="D206" s="475" t="s">
        <v>42</v>
      </c>
      <c r="E206" s="475" t="s">
        <v>54</v>
      </c>
      <c r="F206" s="461">
        <f t="shared" si="61"/>
        <v>53.44</v>
      </c>
      <c r="G206" s="461">
        <v>1</v>
      </c>
      <c r="H206" s="461"/>
      <c r="I206" s="461"/>
      <c r="J206" s="461"/>
      <c r="K206" s="461"/>
      <c r="L206" s="725"/>
      <c r="M206" s="463">
        <f t="shared" si="62"/>
        <v>53.44</v>
      </c>
      <c r="N206" s="463">
        <f t="shared" si="64"/>
        <v>5.34</v>
      </c>
      <c r="O206" s="463">
        <f t="shared" si="65"/>
        <v>14.05</v>
      </c>
      <c r="P206" s="463">
        <f t="shared" si="66"/>
        <v>159.79</v>
      </c>
      <c r="Q206" s="463">
        <f t="shared" si="67"/>
        <v>232.62</v>
      </c>
      <c r="R206" s="463">
        <f t="shared" si="68"/>
        <v>96.06</v>
      </c>
      <c r="S206" s="463">
        <f t="shared" si="69"/>
        <v>46.05</v>
      </c>
      <c r="T206" s="463">
        <f t="shared" si="63"/>
        <v>301.89999999999998</v>
      </c>
      <c r="U206" s="472"/>
      <c r="V206" s="472"/>
      <c r="W206" s="472"/>
      <c r="X206" s="574">
        <f t="shared" si="70"/>
        <v>232.62</v>
      </c>
      <c r="Y206" s="422" t="b">
        <f t="shared" si="71"/>
        <v>1</v>
      </c>
      <c r="Z206" s="574">
        <f t="shared" si="72"/>
        <v>374.73</v>
      </c>
      <c r="AA206" s="710">
        <f t="shared" si="73"/>
        <v>0.41</v>
      </c>
    </row>
    <row r="207" spans="1:27" ht="18" hidden="1" customHeight="1" outlineLevel="1" x14ac:dyDescent="0.25">
      <c r="A207" s="479" t="s">
        <v>579</v>
      </c>
      <c r="B207" s="422" t="s">
        <v>580</v>
      </c>
      <c r="C207" s="445" t="s">
        <v>45</v>
      </c>
      <c r="D207" s="475" t="s">
        <v>42</v>
      </c>
      <c r="E207" s="475" t="s">
        <v>54</v>
      </c>
      <c r="F207" s="461">
        <f t="shared" si="61"/>
        <v>53.44</v>
      </c>
      <c r="G207" s="461">
        <v>1</v>
      </c>
      <c r="H207" s="461"/>
      <c r="I207" s="461"/>
      <c r="J207" s="461"/>
      <c r="K207" s="461"/>
      <c r="L207" s="725"/>
      <c r="M207" s="463">
        <f t="shared" si="62"/>
        <v>53.44</v>
      </c>
      <c r="N207" s="463">
        <f t="shared" si="64"/>
        <v>5.34</v>
      </c>
      <c r="O207" s="463">
        <f t="shared" si="65"/>
        <v>14.05</v>
      </c>
      <c r="P207" s="463">
        <f t="shared" si="66"/>
        <v>159.79</v>
      </c>
      <c r="Q207" s="463">
        <f t="shared" si="67"/>
        <v>232.62</v>
      </c>
      <c r="R207" s="463">
        <f t="shared" si="68"/>
        <v>96.06</v>
      </c>
      <c r="S207" s="463">
        <f t="shared" si="69"/>
        <v>46.05</v>
      </c>
      <c r="T207" s="463">
        <f t="shared" si="63"/>
        <v>301.89999999999998</v>
      </c>
      <c r="U207" s="472"/>
      <c r="V207" s="472"/>
      <c r="W207" s="472"/>
      <c r="X207" s="574">
        <f t="shared" si="70"/>
        <v>232.62</v>
      </c>
      <c r="Y207" s="422" t="b">
        <f t="shared" si="71"/>
        <v>1</v>
      </c>
      <c r="Z207" s="574">
        <f t="shared" si="72"/>
        <v>374.73</v>
      </c>
      <c r="AA207" s="710">
        <f t="shared" si="73"/>
        <v>0.41</v>
      </c>
    </row>
    <row r="208" spans="1:27" ht="18" hidden="1" customHeight="1" outlineLevel="1" x14ac:dyDescent="0.25">
      <c r="A208" s="479" t="s">
        <v>581</v>
      </c>
      <c r="B208" s="422" t="s">
        <v>582</v>
      </c>
      <c r="C208" s="445" t="s">
        <v>45</v>
      </c>
      <c r="D208" s="475" t="s">
        <v>42</v>
      </c>
      <c r="E208" s="475" t="s">
        <v>54</v>
      </c>
      <c r="F208" s="461">
        <f t="shared" si="61"/>
        <v>53.44</v>
      </c>
      <c r="G208" s="461">
        <v>0.25</v>
      </c>
      <c r="H208" s="461"/>
      <c r="I208" s="461"/>
      <c r="J208" s="461"/>
      <c r="K208" s="461"/>
      <c r="L208" s="725"/>
      <c r="M208" s="463">
        <f t="shared" si="62"/>
        <v>13.36</v>
      </c>
      <c r="N208" s="463">
        <f t="shared" si="64"/>
        <v>1.34</v>
      </c>
      <c r="O208" s="463">
        <f t="shared" si="65"/>
        <v>3.51</v>
      </c>
      <c r="P208" s="463">
        <f t="shared" si="66"/>
        <v>39.950000000000003</v>
      </c>
      <c r="Q208" s="463">
        <f t="shared" si="67"/>
        <v>58.16</v>
      </c>
      <c r="R208" s="463">
        <f t="shared" si="68"/>
        <v>24.03</v>
      </c>
      <c r="S208" s="463">
        <f t="shared" si="69"/>
        <v>11.52</v>
      </c>
      <c r="T208" s="463">
        <f t="shared" si="63"/>
        <v>75.5</v>
      </c>
      <c r="U208" s="472"/>
      <c r="V208" s="472"/>
      <c r="W208" s="472"/>
      <c r="X208" s="574">
        <f t="shared" si="70"/>
        <v>58.16</v>
      </c>
      <c r="Y208" s="422" t="b">
        <f t="shared" si="71"/>
        <v>1</v>
      </c>
      <c r="Z208" s="574">
        <f t="shared" si="72"/>
        <v>93.71</v>
      </c>
      <c r="AA208" s="710">
        <f t="shared" si="73"/>
        <v>0.41</v>
      </c>
    </row>
    <row r="209" spans="1:27" ht="18" hidden="1" customHeight="1" outlineLevel="1" x14ac:dyDescent="0.25">
      <c r="A209" s="479" t="s">
        <v>583</v>
      </c>
      <c r="B209" s="422" t="s">
        <v>584</v>
      </c>
      <c r="C209" s="445" t="s">
        <v>45</v>
      </c>
      <c r="D209" s="475" t="s">
        <v>42</v>
      </c>
      <c r="E209" s="475" t="s">
        <v>54</v>
      </c>
      <c r="F209" s="461">
        <f t="shared" si="61"/>
        <v>53.44</v>
      </c>
      <c r="G209" s="461">
        <v>0.13</v>
      </c>
      <c r="H209" s="461"/>
      <c r="I209" s="461"/>
      <c r="J209" s="461"/>
      <c r="K209" s="461"/>
      <c r="L209" s="725"/>
      <c r="M209" s="463">
        <f t="shared" si="62"/>
        <v>6.95</v>
      </c>
      <c r="N209" s="463">
        <f t="shared" si="64"/>
        <v>0.7</v>
      </c>
      <c r="O209" s="463">
        <f t="shared" si="65"/>
        <v>1.83</v>
      </c>
      <c r="P209" s="463">
        <f t="shared" si="66"/>
        <v>20.78</v>
      </c>
      <c r="Q209" s="463">
        <f t="shared" si="67"/>
        <v>30.26</v>
      </c>
      <c r="R209" s="463">
        <f t="shared" si="68"/>
        <v>12.53</v>
      </c>
      <c r="S209" s="463">
        <f t="shared" si="69"/>
        <v>6</v>
      </c>
      <c r="T209" s="463">
        <f t="shared" si="63"/>
        <v>39.299999999999997</v>
      </c>
      <c r="U209" s="472"/>
      <c r="V209" s="472"/>
      <c r="W209" s="472"/>
      <c r="X209" s="574">
        <f t="shared" si="70"/>
        <v>30.26</v>
      </c>
      <c r="Y209" s="422" t="b">
        <f t="shared" si="71"/>
        <v>1</v>
      </c>
      <c r="Z209" s="574">
        <f t="shared" si="72"/>
        <v>48.79</v>
      </c>
      <c r="AA209" s="710">
        <f t="shared" si="73"/>
        <v>0.41</v>
      </c>
    </row>
    <row r="210" spans="1:27" ht="18" hidden="1" customHeight="1" outlineLevel="1" x14ac:dyDescent="0.25">
      <c r="A210" s="479" t="s">
        <v>585</v>
      </c>
      <c r="B210" s="422" t="s">
        <v>586</v>
      </c>
      <c r="C210" s="445" t="s">
        <v>45</v>
      </c>
      <c r="D210" s="475" t="s">
        <v>42</v>
      </c>
      <c r="E210" s="475" t="s">
        <v>54</v>
      </c>
      <c r="F210" s="461">
        <f t="shared" si="61"/>
        <v>53.44</v>
      </c>
      <c r="G210" s="461">
        <v>0.13</v>
      </c>
      <c r="H210" s="461"/>
      <c r="I210" s="461"/>
      <c r="J210" s="461"/>
      <c r="K210" s="461"/>
      <c r="L210" s="725"/>
      <c r="M210" s="463">
        <f t="shared" si="62"/>
        <v>6.95</v>
      </c>
      <c r="N210" s="463">
        <f t="shared" si="64"/>
        <v>0.7</v>
      </c>
      <c r="O210" s="463">
        <f t="shared" si="65"/>
        <v>1.83</v>
      </c>
      <c r="P210" s="463">
        <f t="shared" si="66"/>
        <v>20.78</v>
      </c>
      <c r="Q210" s="463">
        <f t="shared" si="67"/>
        <v>30.26</v>
      </c>
      <c r="R210" s="463">
        <f t="shared" si="68"/>
        <v>12.53</v>
      </c>
      <c r="S210" s="463">
        <f t="shared" si="69"/>
        <v>6</v>
      </c>
      <c r="T210" s="463">
        <f t="shared" si="63"/>
        <v>39.299999999999997</v>
      </c>
      <c r="U210" s="472"/>
      <c r="V210" s="472"/>
      <c r="W210" s="472"/>
      <c r="X210" s="574">
        <f t="shared" si="70"/>
        <v>30.26</v>
      </c>
      <c r="Y210" s="422" t="b">
        <f t="shared" si="71"/>
        <v>1</v>
      </c>
      <c r="Z210" s="574">
        <f t="shared" si="72"/>
        <v>48.79</v>
      </c>
      <c r="AA210" s="710">
        <f t="shared" si="73"/>
        <v>0.41</v>
      </c>
    </row>
    <row r="211" spans="1:27" ht="18" hidden="1" customHeight="1" outlineLevel="1" x14ac:dyDescent="0.25">
      <c r="A211" s="479" t="s">
        <v>587</v>
      </c>
      <c r="B211" s="422" t="s">
        <v>588</v>
      </c>
      <c r="C211" s="445" t="s">
        <v>589</v>
      </c>
      <c r="D211" s="475" t="s">
        <v>42</v>
      </c>
      <c r="E211" s="475" t="s">
        <v>54</v>
      </c>
      <c r="F211" s="461">
        <f t="shared" si="61"/>
        <v>53.44</v>
      </c>
      <c r="G211" s="461">
        <v>1.2</v>
      </c>
      <c r="H211" s="461"/>
      <c r="I211" s="461"/>
      <c r="J211" s="461"/>
      <c r="K211" s="461"/>
      <c r="L211" s="725"/>
      <c r="M211" s="463">
        <f t="shared" si="62"/>
        <v>64.13</v>
      </c>
      <c r="N211" s="463">
        <f t="shared" si="64"/>
        <v>6.41</v>
      </c>
      <c r="O211" s="463">
        <f t="shared" si="65"/>
        <v>16.87</v>
      </c>
      <c r="P211" s="463">
        <f t="shared" si="66"/>
        <v>191.75</v>
      </c>
      <c r="Q211" s="463">
        <f t="shared" si="67"/>
        <v>279.16000000000003</v>
      </c>
      <c r="R211" s="463">
        <f t="shared" si="68"/>
        <v>115.28</v>
      </c>
      <c r="S211" s="463">
        <f t="shared" si="69"/>
        <v>55.27</v>
      </c>
      <c r="T211" s="463">
        <f t="shared" si="63"/>
        <v>362.3</v>
      </c>
      <c r="U211" s="472"/>
      <c r="V211" s="472"/>
      <c r="W211" s="472"/>
      <c r="X211" s="574">
        <f t="shared" si="70"/>
        <v>279.16000000000003</v>
      </c>
      <c r="Y211" s="422" t="b">
        <f t="shared" si="71"/>
        <v>1</v>
      </c>
      <c r="Z211" s="574">
        <f t="shared" si="72"/>
        <v>449.71</v>
      </c>
      <c r="AA211" s="710">
        <f t="shared" si="73"/>
        <v>0.41</v>
      </c>
    </row>
    <row r="212" spans="1:27" ht="18" hidden="1" customHeight="1" outlineLevel="1" x14ac:dyDescent="0.25">
      <c r="A212" s="479" t="s">
        <v>590</v>
      </c>
      <c r="B212" s="422" t="s">
        <v>591</v>
      </c>
      <c r="C212" s="445" t="s">
        <v>45</v>
      </c>
      <c r="D212" s="475" t="s">
        <v>42</v>
      </c>
      <c r="E212" s="475" t="s">
        <v>54</v>
      </c>
      <c r="F212" s="461">
        <f t="shared" si="61"/>
        <v>53.44</v>
      </c>
      <c r="G212" s="461">
        <v>0.5</v>
      </c>
      <c r="H212" s="461"/>
      <c r="I212" s="461"/>
      <c r="J212" s="461"/>
      <c r="K212" s="461"/>
      <c r="L212" s="725"/>
      <c r="M212" s="463">
        <f t="shared" si="62"/>
        <v>26.72</v>
      </c>
      <c r="N212" s="463">
        <f t="shared" si="64"/>
        <v>2.67</v>
      </c>
      <c r="O212" s="463">
        <f t="shared" si="65"/>
        <v>7.03</v>
      </c>
      <c r="P212" s="463">
        <f t="shared" si="66"/>
        <v>79.89</v>
      </c>
      <c r="Q212" s="463">
        <f t="shared" si="67"/>
        <v>116.31</v>
      </c>
      <c r="R212" s="463">
        <f t="shared" si="68"/>
        <v>48.08</v>
      </c>
      <c r="S212" s="463">
        <f t="shared" si="69"/>
        <v>23.03</v>
      </c>
      <c r="T212" s="463">
        <f t="shared" si="63"/>
        <v>151</v>
      </c>
      <c r="U212" s="472"/>
      <c r="V212" s="472"/>
      <c r="W212" s="472"/>
      <c r="X212" s="574">
        <f t="shared" si="70"/>
        <v>116.31</v>
      </c>
      <c r="Y212" s="422" t="b">
        <f t="shared" si="71"/>
        <v>1</v>
      </c>
      <c r="Z212" s="574">
        <f t="shared" si="72"/>
        <v>187.42</v>
      </c>
      <c r="AA212" s="710">
        <f t="shared" si="73"/>
        <v>0.41</v>
      </c>
    </row>
    <row r="213" spans="1:27" ht="18" hidden="1" customHeight="1" outlineLevel="1" x14ac:dyDescent="0.25">
      <c r="A213" s="479" t="s">
        <v>592</v>
      </c>
      <c r="B213" s="422" t="s">
        <v>593</v>
      </c>
      <c r="C213" s="445" t="s">
        <v>45</v>
      </c>
      <c r="D213" s="475" t="s">
        <v>42</v>
      </c>
      <c r="E213" s="475" t="s">
        <v>54</v>
      </c>
      <c r="F213" s="461">
        <f t="shared" si="61"/>
        <v>53.44</v>
      </c>
      <c r="G213" s="461">
        <v>0.7</v>
      </c>
      <c r="H213" s="461"/>
      <c r="I213" s="461"/>
      <c r="J213" s="461"/>
      <c r="K213" s="461"/>
      <c r="L213" s="725"/>
      <c r="M213" s="463">
        <f t="shared" si="62"/>
        <v>37.409999999999997</v>
      </c>
      <c r="N213" s="463">
        <f t="shared" si="64"/>
        <v>3.74</v>
      </c>
      <c r="O213" s="463">
        <f t="shared" si="65"/>
        <v>9.84</v>
      </c>
      <c r="P213" s="463">
        <f t="shared" si="66"/>
        <v>111.86</v>
      </c>
      <c r="Q213" s="463">
        <f t="shared" si="67"/>
        <v>162.85</v>
      </c>
      <c r="R213" s="463">
        <f t="shared" si="68"/>
        <v>67.290000000000006</v>
      </c>
      <c r="S213" s="463">
        <f t="shared" si="69"/>
        <v>32.25</v>
      </c>
      <c r="T213" s="463">
        <f t="shared" si="63"/>
        <v>211.4</v>
      </c>
      <c r="U213" s="472"/>
      <c r="V213" s="472"/>
      <c r="W213" s="472"/>
      <c r="X213" s="574">
        <f t="shared" si="70"/>
        <v>162.85</v>
      </c>
      <c r="Y213" s="422" t="b">
        <f t="shared" si="71"/>
        <v>1</v>
      </c>
      <c r="Z213" s="574">
        <f t="shared" si="72"/>
        <v>262.39</v>
      </c>
      <c r="AA213" s="710">
        <f t="shared" si="73"/>
        <v>0.41</v>
      </c>
    </row>
    <row r="214" spans="1:27" ht="18" hidden="1" customHeight="1" outlineLevel="1" x14ac:dyDescent="0.25">
      <c r="A214" s="479" t="s">
        <v>594</v>
      </c>
      <c r="B214" s="422" t="s">
        <v>595</v>
      </c>
      <c r="C214" s="445" t="s">
        <v>45</v>
      </c>
      <c r="D214" s="475" t="s">
        <v>42</v>
      </c>
      <c r="E214" s="475" t="s">
        <v>54</v>
      </c>
      <c r="F214" s="461">
        <f t="shared" si="61"/>
        <v>53.44</v>
      </c>
      <c r="G214" s="461">
        <v>1</v>
      </c>
      <c r="H214" s="461"/>
      <c r="I214" s="461"/>
      <c r="J214" s="461"/>
      <c r="K214" s="461"/>
      <c r="L214" s="725"/>
      <c r="M214" s="463">
        <f t="shared" si="62"/>
        <v>53.44</v>
      </c>
      <c r="N214" s="463">
        <f t="shared" si="64"/>
        <v>5.34</v>
      </c>
      <c r="O214" s="463">
        <f t="shared" si="65"/>
        <v>14.05</v>
      </c>
      <c r="P214" s="463">
        <f t="shared" si="66"/>
        <v>159.79</v>
      </c>
      <c r="Q214" s="463">
        <f t="shared" si="67"/>
        <v>232.62</v>
      </c>
      <c r="R214" s="463">
        <f t="shared" si="68"/>
        <v>96.06</v>
      </c>
      <c r="S214" s="463">
        <f t="shared" si="69"/>
        <v>46.05</v>
      </c>
      <c r="T214" s="463">
        <f t="shared" si="63"/>
        <v>301.89999999999998</v>
      </c>
      <c r="U214" s="472"/>
      <c r="V214" s="472"/>
      <c r="W214" s="472"/>
      <c r="X214" s="574">
        <f t="shared" si="70"/>
        <v>232.62</v>
      </c>
      <c r="Y214" s="422" t="b">
        <f t="shared" si="71"/>
        <v>1</v>
      </c>
      <c r="Z214" s="574">
        <f t="shared" si="72"/>
        <v>374.73</v>
      </c>
      <c r="AA214" s="710">
        <f t="shared" si="73"/>
        <v>0.41</v>
      </c>
    </row>
    <row r="215" spans="1:27" ht="18" hidden="1" customHeight="1" outlineLevel="1" x14ac:dyDescent="0.25">
      <c r="A215" s="479" t="s">
        <v>596</v>
      </c>
      <c r="B215" s="422" t="s">
        <v>597</v>
      </c>
      <c r="C215" s="445" t="s">
        <v>45</v>
      </c>
      <c r="D215" s="475" t="s">
        <v>42</v>
      </c>
      <c r="E215" s="475" t="s">
        <v>54</v>
      </c>
      <c r="F215" s="461">
        <f t="shared" si="61"/>
        <v>53.44</v>
      </c>
      <c r="G215" s="461">
        <v>0.4</v>
      </c>
      <c r="H215" s="461"/>
      <c r="I215" s="461"/>
      <c r="J215" s="461"/>
      <c r="K215" s="461"/>
      <c r="L215" s="725"/>
      <c r="M215" s="463">
        <f t="shared" si="62"/>
        <v>21.38</v>
      </c>
      <c r="N215" s="463">
        <f t="shared" si="64"/>
        <v>2.14</v>
      </c>
      <c r="O215" s="463">
        <f t="shared" si="65"/>
        <v>5.62</v>
      </c>
      <c r="P215" s="463">
        <f t="shared" si="66"/>
        <v>63.93</v>
      </c>
      <c r="Q215" s="463">
        <f t="shared" si="67"/>
        <v>93.07</v>
      </c>
      <c r="R215" s="463">
        <f t="shared" si="68"/>
        <v>38.44</v>
      </c>
      <c r="S215" s="463">
        <f t="shared" si="69"/>
        <v>18.43</v>
      </c>
      <c r="T215" s="463">
        <f t="shared" si="63"/>
        <v>120.8</v>
      </c>
      <c r="U215" s="472"/>
      <c r="V215" s="472"/>
      <c r="W215" s="472"/>
      <c r="X215" s="574">
        <f t="shared" si="70"/>
        <v>93.07</v>
      </c>
      <c r="Y215" s="422" t="b">
        <f t="shared" si="71"/>
        <v>1</v>
      </c>
      <c r="Z215" s="574">
        <f t="shared" si="72"/>
        <v>149.94</v>
      </c>
      <c r="AA215" s="710">
        <f t="shared" si="73"/>
        <v>0.41</v>
      </c>
    </row>
    <row r="216" spans="1:27" ht="18" hidden="1" customHeight="1" outlineLevel="1" x14ac:dyDescent="0.25">
      <c r="A216" s="479" t="s">
        <v>598</v>
      </c>
      <c r="B216" s="422" t="s">
        <v>599</v>
      </c>
      <c r="C216" s="445" t="s">
        <v>45</v>
      </c>
      <c r="D216" s="475" t="s">
        <v>42</v>
      </c>
      <c r="E216" s="475" t="s">
        <v>54</v>
      </c>
      <c r="F216" s="461">
        <f t="shared" si="61"/>
        <v>53.44</v>
      </c>
      <c r="G216" s="461">
        <v>0.6</v>
      </c>
      <c r="H216" s="461"/>
      <c r="I216" s="461"/>
      <c r="J216" s="461"/>
      <c r="K216" s="461"/>
      <c r="L216" s="725"/>
      <c r="M216" s="463">
        <f t="shared" si="62"/>
        <v>32.06</v>
      </c>
      <c r="N216" s="463">
        <f t="shared" si="64"/>
        <v>3.21</v>
      </c>
      <c r="O216" s="463">
        <f t="shared" si="65"/>
        <v>8.43</v>
      </c>
      <c r="P216" s="463">
        <f t="shared" si="66"/>
        <v>95.86</v>
      </c>
      <c r="Q216" s="463">
        <f t="shared" si="67"/>
        <v>139.56</v>
      </c>
      <c r="R216" s="463">
        <f t="shared" si="68"/>
        <v>57.61</v>
      </c>
      <c r="S216" s="463">
        <f t="shared" si="69"/>
        <v>27.62</v>
      </c>
      <c r="T216" s="463">
        <f t="shared" si="63"/>
        <v>181.1</v>
      </c>
      <c r="U216" s="472"/>
      <c r="V216" s="472"/>
      <c r="W216" s="472"/>
      <c r="X216" s="574">
        <f t="shared" si="70"/>
        <v>139.56</v>
      </c>
      <c r="Y216" s="422" t="b">
        <f t="shared" si="71"/>
        <v>1</v>
      </c>
      <c r="Z216" s="574">
        <f t="shared" si="72"/>
        <v>224.79</v>
      </c>
      <c r="AA216" s="710">
        <f t="shared" si="73"/>
        <v>0.41</v>
      </c>
    </row>
    <row r="217" spans="1:27" ht="18" hidden="1" customHeight="1" outlineLevel="1" x14ac:dyDescent="0.25">
      <c r="A217" s="479" t="s">
        <v>600</v>
      </c>
      <c r="B217" s="422" t="s">
        <v>601</v>
      </c>
      <c r="C217" s="445" t="s">
        <v>403</v>
      </c>
      <c r="D217" s="475" t="s">
        <v>42</v>
      </c>
      <c r="E217" s="475" t="s">
        <v>54</v>
      </c>
      <c r="F217" s="461">
        <f t="shared" si="61"/>
        <v>53.44</v>
      </c>
      <c r="G217" s="461">
        <v>0.54</v>
      </c>
      <c r="H217" s="461"/>
      <c r="I217" s="461"/>
      <c r="J217" s="461"/>
      <c r="K217" s="461"/>
      <c r="L217" s="725"/>
      <c r="M217" s="463">
        <f t="shared" si="62"/>
        <v>28.86</v>
      </c>
      <c r="N217" s="463">
        <f t="shared" si="64"/>
        <v>2.89</v>
      </c>
      <c r="O217" s="463">
        <f t="shared" si="65"/>
        <v>7.59</v>
      </c>
      <c r="P217" s="463">
        <f t="shared" si="66"/>
        <v>86.29</v>
      </c>
      <c r="Q217" s="463">
        <f t="shared" si="67"/>
        <v>125.63</v>
      </c>
      <c r="R217" s="463">
        <f t="shared" si="68"/>
        <v>51.93</v>
      </c>
      <c r="S217" s="463">
        <f t="shared" si="69"/>
        <v>24.88</v>
      </c>
      <c r="T217" s="463">
        <f t="shared" si="63"/>
        <v>163.1</v>
      </c>
      <c r="U217" s="472"/>
      <c r="V217" s="472"/>
      <c r="W217" s="472"/>
      <c r="X217" s="574">
        <f t="shared" si="70"/>
        <v>125.63</v>
      </c>
      <c r="Y217" s="422" t="b">
        <f t="shared" si="71"/>
        <v>1</v>
      </c>
      <c r="Z217" s="574">
        <f t="shared" si="72"/>
        <v>202.44</v>
      </c>
      <c r="AA217" s="710">
        <f t="shared" si="73"/>
        <v>0.41</v>
      </c>
    </row>
    <row r="218" spans="1:27" ht="18" hidden="1" customHeight="1" outlineLevel="1" x14ac:dyDescent="0.25">
      <c r="A218" s="479" t="s">
        <v>602</v>
      </c>
      <c r="B218" s="422" t="s">
        <v>603</v>
      </c>
      <c r="C218" s="445" t="s">
        <v>409</v>
      </c>
      <c r="D218" s="475" t="s">
        <v>42</v>
      </c>
      <c r="E218" s="475" t="s">
        <v>54</v>
      </c>
      <c r="F218" s="461">
        <f t="shared" si="61"/>
        <v>53.44</v>
      </c>
      <c r="G218" s="461">
        <v>0.5</v>
      </c>
      <c r="H218" s="461"/>
      <c r="I218" s="461"/>
      <c r="J218" s="461"/>
      <c r="K218" s="461"/>
      <c r="L218" s="725"/>
      <c r="M218" s="463">
        <f t="shared" si="62"/>
        <v>26.72</v>
      </c>
      <c r="N218" s="463">
        <f t="shared" si="64"/>
        <v>2.67</v>
      </c>
      <c r="O218" s="463">
        <f t="shared" si="65"/>
        <v>7.03</v>
      </c>
      <c r="P218" s="463">
        <f t="shared" si="66"/>
        <v>79.89</v>
      </c>
      <c r="Q218" s="463">
        <f t="shared" si="67"/>
        <v>116.31</v>
      </c>
      <c r="R218" s="463">
        <f t="shared" si="68"/>
        <v>48.08</v>
      </c>
      <c r="S218" s="463">
        <f t="shared" si="69"/>
        <v>23.03</v>
      </c>
      <c r="T218" s="463">
        <f t="shared" si="63"/>
        <v>151</v>
      </c>
      <c r="U218" s="472"/>
      <c r="V218" s="472"/>
      <c r="W218" s="472"/>
      <c r="X218" s="574">
        <f t="shared" si="70"/>
        <v>116.31</v>
      </c>
      <c r="Y218" s="422" t="b">
        <f t="shared" si="71"/>
        <v>1</v>
      </c>
      <c r="Z218" s="574">
        <f t="shared" si="72"/>
        <v>187.42</v>
      </c>
      <c r="AA218" s="710">
        <f t="shared" si="73"/>
        <v>0.41</v>
      </c>
    </row>
    <row r="219" spans="1:27" ht="18" hidden="1" customHeight="1" outlineLevel="1" x14ac:dyDescent="0.25">
      <c r="A219" s="479" t="s">
        <v>604</v>
      </c>
      <c r="B219" s="422" t="s">
        <v>605</v>
      </c>
      <c r="C219" s="445" t="s">
        <v>45</v>
      </c>
      <c r="D219" s="475" t="s">
        <v>42</v>
      </c>
      <c r="E219" s="475" t="s">
        <v>54</v>
      </c>
      <c r="F219" s="461">
        <f t="shared" si="61"/>
        <v>53.44</v>
      </c>
      <c r="G219" s="461">
        <v>0.67</v>
      </c>
      <c r="H219" s="461"/>
      <c r="I219" s="461"/>
      <c r="J219" s="461"/>
      <c r="K219" s="461"/>
      <c r="L219" s="725"/>
      <c r="M219" s="463">
        <f t="shared" si="62"/>
        <v>35.799999999999997</v>
      </c>
      <c r="N219" s="463">
        <f t="shared" si="64"/>
        <v>3.58</v>
      </c>
      <c r="O219" s="463">
        <f t="shared" si="65"/>
        <v>9.42</v>
      </c>
      <c r="P219" s="463">
        <f t="shared" si="66"/>
        <v>107.04</v>
      </c>
      <c r="Q219" s="463">
        <f t="shared" si="67"/>
        <v>155.84</v>
      </c>
      <c r="R219" s="463">
        <f t="shared" si="68"/>
        <v>64.400000000000006</v>
      </c>
      <c r="S219" s="463">
        <f t="shared" si="69"/>
        <v>30.86</v>
      </c>
      <c r="T219" s="463">
        <f t="shared" si="63"/>
        <v>202.3</v>
      </c>
      <c r="U219" s="472"/>
      <c r="V219" s="472"/>
      <c r="W219" s="472"/>
      <c r="X219" s="574">
        <f t="shared" si="70"/>
        <v>155.84</v>
      </c>
      <c r="Y219" s="422" t="b">
        <f t="shared" si="71"/>
        <v>1</v>
      </c>
      <c r="Z219" s="574">
        <f t="shared" si="72"/>
        <v>251.1</v>
      </c>
      <c r="AA219" s="710">
        <f t="shared" si="73"/>
        <v>0.41</v>
      </c>
    </row>
    <row r="220" spans="1:27" ht="18" hidden="1" customHeight="1" outlineLevel="1" x14ac:dyDescent="0.25">
      <c r="A220" s="479" t="s">
        <v>606</v>
      </c>
      <c r="B220" s="422" t="s">
        <v>607</v>
      </c>
      <c r="C220" s="445" t="s">
        <v>45</v>
      </c>
      <c r="D220" s="475" t="s">
        <v>42</v>
      </c>
      <c r="E220" s="475" t="s">
        <v>54</v>
      </c>
      <c r="F220" s="461">
        <f t="shared" si="61"/>
        <v>53.44</v>
      </c>
      <c r="G220" s="461">
        <v>0.5</v>
      </c>
      <c r="H220" s="461"/>
      <c r="I220" s="461"/>
      <c r="J220" s="461"/>
      <c r="K220" s="461"/>
      <c r="L220" s="725"/>
      <c r="M220" s="463">
        <f t="shared" si="62"/>
        <v>26.72</v>
      </c>
      <c r="N220" s="463">
        <f t="shared" si="64"/>
        <v>2.67</v>
      </c>
      <c r="O220" s="463">
        <f t="shared" si="65"/>
        <v>7.03</v>
      </c>
      <c r="P220" s="463">
        <f t="shared" si="66"/>
        <v>79.89</v>
      </c>
      <c r="Q220" s="463">
        <f t="shared" si="67"/>
        <v>116.31</v>
      </c>
      <c r="R220" s="463">
        <f t="shared" si="68"/>
        <v>48.08</v>
      </c>
      <c r="S220" s="463">
        <f t="shared" si="69"/>
        <v>23.03</v>
      </c>
      <c r="T220" s="463">
        <f t="shared" si="63"/>
        <v>151</v>
      </c>
      <c r="U220" s="472"/>
      <c r="V220" s="472"/>
      <c r="W220" s="472"/>
      <c r="X220" s="574">
        <f t="shared" si="70"/>
        <v>116.31</v>
      </c>
      <c r="Y220" s="422" t="b">
        <f t="shared" si="71"/>
        <v>1</v>
      </c>
      <c r="Z220" s="574">
        <f t="shared" si="72"/>
        <v>187.42</v>
      </c>
      <c r="AA220" s="710">
        <f t="shared" si="73"/>
        <v>0.41</v>
      </c>
    </row>
    <row r="221" spans="1:27" ht="18" hidden="1" customHeight="1" outlineLevel="1" x14ac:dyDescent="0.25">
      <c r="A221" s="479" t="s">
        <v>608</v>
      </c>
      <c r="B221" s="422" t="s">
        <v>609</v>
      </c>
      <c r="C221" s="445" t="s">
        <v>45</v>
      </c>
      <c r="D221" s="475" t="s">
        <v>42</v>
      </c>
      <c r="E221" s="475" t="s">
        <v>54</v>
      </c>
      <c r="F221" s="461">
        <f t="shared" si="61"/>
        <v>53.44</v>
      </c>
      <c r="G221" s="461">
        <v>0.24</v>
      </c>
      <c r="H221" s="461"/>
      <c r="I221" s="461"/>
      <c r="J221" s="461"/>
      <c r="K221" s="461"/>
      <c r="L221" s="725"/>
      <c r="M221" s="463">
        <f t="shared" si="62"/>
        <v>12.83</v>
      </c>
      <c r="N221" s="463">
        <f t="shared" si="64"/>
        <v>1.28</v>
      </c>
      <c r="O221" s="463">
        <f t="shared" si="65"/>
        <v>3.37</v>
      </c>
      <c r="P221" s="463">
        <f t="shared" si="66"/>
        <v>38.36</v>
      </c>
      <c r="Q221" s="463">
        <f t="shared" si="67"/>
        <v>55.84</v>
      </c>
      <c r="R221" s="463">
        <f t="shared" si="68"/>
        <v>23.08</v>
      </c>
      <c r="S221" s="463">
        <f t="shared" si="69"/>
        <v>11.06</v>
      </c>
      <c r="T221" s="463">
        <f t="shared" si="63"/>
        <v>72.5</v>
      </c>
      <c r="U221" s="472"/>
      <c r="V221" s="472"/>
      <c r="W221" s="472"/>
      <c r="X221" s="574">
        <f t="shared" si="70"/>
        <v>55.84</v>
      </c>
      <c r="Y221" s="422" t="b">
        <f t="shared" si="71"/>
        <v>1</v>
      </c>
      <c r="Z221" s="574">
        <f t="shared" si="72"/>
        <v>89.98</v>
      </c>
      <c r="AA221" s="710">
        <f t="shared" si="73"/>
        <v>0.41</v>
      </c>
    </row>
    <row r="222" spans="1:27" ht="18" hidden="1" customHeight="1" outlineLevel="1" x14ac:dyDescent="0.3">
      <c r="A222" s="479" t="s">
        <v>610</v>
      </c>
      <c r="B222" s="423" t="s">
        <v>611</v>
      </c>
      <c r="C222" s="445" t="s">
        <v>612</v>
      </c>
      <c r="D222" s="475" t="s">
        <v>42</v>
      </c>
      <c r="E222" s="475" t="s">
        <v>54</v>
      </c>
      <c r="F222" s="461">
        <f t="shared" si="61"/>
        <v>53.44</v>
      </c>
      <c r="G222" s="461">
        <v>0.51</v>
      </c>
      <c r="H222" s="461"/>
      <c r="I222" s="461"/>
      <c r="J222" s="461"/>
      <c r="K222" s="461"/>
      <c r="L222" s="725"/>
      <c r="M222" s="463">
        <f t="shared" si="62"/>
        <v>27.25</v>
      </c>
      <c r="N222" s="463">
        <f t="shared" si="64"/>
        <v>2.73</v>
      </c>
      <c r="O222" s="463">
        <f t="shared" si="65"/>
        <v>7.17</v>
      </c>
      <c r="P222" s="463">
        <f t="shared" si="66"/>
        <v>81.48</v>
      </c>
      <c r="Q222" s="463">
        <f t="shared" si="67"/>
        <v>118.63</v>
      </c>
      <c r="R222" s="463">
        <f t="shared" si="68"/>
        <v>49.03</v>
      </c>
      <c r="S222" s="463">
        <f t="shared" si="69"/>
        <v>23.49</v>
      </c>
      <c r="T222" s="463">
        <f t="shared" si="63"/>
        <v>154</v>
      </c>
      <c r="U222" s="472"/>
      <c r="V222" s="472"/>
      <c r="W222" s="472"/>
      <c r="X222" s="574">
        <f t="shared" si="70"/>
        <v>118.63</v>
      </c>
      <c r="Y222" s="422" t="b">
        <f t="shared" si="71"/>
        <v>1</v>
      </c>
      <c r="Z222" s="574">
        <f t="shared" si="72"/>
        <v>191.15</v>
      </c>
      <c r="AA222" s="710">
        <f t="shared" si="73"/>
        <v>0.41</v>
      </c>
    </row>
    <row r="223" spans="1:27" ht="18" hidden="1" customHeight="1" outlineLevel="1" x14ac:dyDescent="0.25">
      <c r="A223" s="479" t="s">
        <v>613</v>
      </c>
      <c r="B223" s="422" t="s">
        <v>614</v>
      </c>
      <c r="C223" s="445" t="s">
        <v>615</v>
      </c>
      <c r="D223" s="475" t="s">
        <v>42</v>
      </c>
      <c r="E223" s="475" t="s">
        <v>54</v>
      </c>
      <c r="F223" s="461">
        <f t="shared" si="61"/>
        <v>53.44</v>
      </c>
      <c r="G223" s="461">
        <v>0.33</v>
      </c>
      <c r="H223" s="461"/>
      <c r="I223" s="461"/>
      <c r="J223" s="461"/>
      <c r="K223" s="461"/>
      <c r="L223" s="725"/>
      <c r="M223" s="463">
        <f t="shared" si="62"/>
        <v>17.64</v>
      </c>
      <c r="N223" s="463">
        <f t="shared" si="64"/>
        <v>1.76</v>
      </c>
      <c r="O223" s="463">
        <f t="shared" si="65"/>
        <v>4.6399999999999997</v>
      </c>
      <c r="P223" s="463">
        <f t="shared" si="66"/>
        <v>52.74</v>
      </c>
      <c r="Q223" s="463">
        <f t="shared" si="67"/>
        <v>76.78</v>
      </c>
      <c r="R223" s="463">
        <f t="shared" si="68"/>
        <v>31.75</v>
      </c>
      <c r="S223" s="463">
        <f t="shared" si="69"/>
        <v>15.21</v>
      </c>
      <c r="T223" s="463">
        <f t="shared" si="63"/>
        <v>99.7</v>
      </c>
      <c r="U223" s="472"/>
      <c r="V223" s="472"/>
      <c r="W223" s="472"/>
      <c r="X223" s="574">
        <f t="shared" si="70"/>
        <v>76.78</v>
      </c>
      <c r="Y223" s="422" t="b">
        <f t="shared" si="71"/>
        <v>1</v>
      </c>
      <c r="Z223" s="574">
        <f t="shared" si="72"/>
        <v>123.74</v>
      </c>
      <c r="AA223" s="710">
        <f t="shared" si="73"/>
        <v>0.41</v>
      </c>
    </row>
    <row r="224" spans="1:27" ht="18" hidden="1" customHeight="1" outlineLevel="1" x14ac:dyDescent="0.25">
      <c r="A224" s="479" t="s">
        <v>616</v>
      </c>
      <c r="B224" s="422" t="s">
        <v>617</v>
      </c>
      <c r="C224" s="445" t="s">
        <v>412</v>
      </c>
      <c r="D224" s="475" t="s">
        <v>42</v>
      </c>
      <c r="E224" s="475" t="s">
        <v>54</v>
      </c>
      <c r="F224" s="461">
        <f t="shared" si="61"/>
        <v>53.44</v>
      </c>
      <c r="G224" s="461">
        <v>0.5</v>
      </c>
      <c r="H224" s="461"/>
      <c r="I224" s="461"/>
      <c r="J224" s="461"/>
      <c r="K224" s="461"/>
      <c r="L224" s="725"/>
      <c r="M224" s="463">
        <f t="shared" si="62"/>
        <v>26.72</v>
      </c>
      <c r="N224" s="463">
        <f t="shared" si="64"/>
        <v>2.67</v>
      </c>
      <c r="O224" s="463">
        <f t="shared" si="65"/>
        <v>7.03</v>
      </c>
      <c r="P224" s="463">
        <f t="shared" si="66"/>
        <v>79.89</v>
      </c>
      <c r="Q224" s="463">
        <f t="shared" si="67"/>
        <v>116.31</v>
      </c>
      <c r="R224" s="463">
        <f t="shared" si="68"/>
        <v>48.08</v>
      </c>
      <c r="S224" s="463">
        <f t="shared" si="69"/>
        <v>23.03</v>
      </c>
      <c r="T224" s="463">
        <f t="shared" si="63"/>
        <v>151</v>
      </c>
      <c r="U224" s="472"/>
      <c r="V224" s="472"/>
      <c r="W224" s="472"/>
      <c r="X224" s="574">
        <f t="shared" si="70"/>
        <v>116.31</v>
      </c>
      <c r="Y224" s="422" t="b">
        <f t="shared" si="71"/>
        <v>1</v>
      </c>
      <c r="Z224" s="574">
        <f t="shared" si="72"/>
        <v>187.42</v>
      </c>
      <c r="AA224" s="710">
        <f t="shared" si="73"/>
        <v>0.41</v>
      </c>
    </row>
    <row r="225" spans="1:27" ht="18" hidden="1" customHeight="1" outlineLevel="1" x14ac:dyDescent="0.25">
      <c r="A225" s="479" t="s">
        <v>618</v>
      </c>
      <c r="B225" s="422" t="s">
        <v>619</v>
      </c>
      <c r="C225" s="445" t="s">
        <v>45</v>
      </c>
      <c r="D225" s="475" t="s">
        <v>42</v>
      </c>
      <c r="E225" s="475" t="s">
        <v>54</v>
      </c>
      <c r="F225" s="461">
        <f t="shared" si="61"/>
        <v>53.44</v>
      </c>
      <c r="G225" s="461">
        <v>0.33</v>
      </c>
      <c r="H225" s="461"/>
      <c r="I225" s="461"/>
      <c r="J225" s="461"/>
      <c r="K225" s="461"/>
      <c r="L225" s="725"/>
      <c r="M225" s="463">
        <f t="shared" si="62"/>
        <v>17.64</v>
      </c>
      <c r="N225" s="463">
        <f t="shared" si="64"/>
        <v>1.76</v>
      </c>
      <c r="O225" s="463">
        <f t="shared" si="65"/>
        <v>4.6399999999999997</v>
      </c>
      <c r="P225" s="463">
        <f t="shared" si="66"/>
        <v>52.74</v>
      </c>
      <c r="Q225" s="463">
        <f t="shared" si="67"/>
        <v>76.78</v>
      </c>
      <c r="R225" s="463">
        <f t="shared" si="68"/>
        <v>31.75</v>
      </c>
      <c r="S225" s="463">
        <f t="shared" si="69"/>
        <v>15.21</v>
      </c>
      <c r="T225" s="463">
        <f t="shared" si="63"/>
        <v>99.7</v>
      </c>
      <c r="U225" s="472"/>
      <c r="V225" s="472"/>
      <c r="W225" s="472"/>
      <c r="X225" s="574">
        <f t="shared" si="70"/>
        <v>76.78</v>
      </c>
      <c r="Y225" s="422" t="b">
        <f t="shared" si="71"/>
        <v>1</v>
      </c>
      <c r="Z225" s="574">
        <f t="shared" si="72"/>
        <v>123.74</v>
      </c>
      <c r="AA225" s="710">
        <f t="shared" si="73"/>
        <v>0.41</v>
      </c>
    </row>
    <row r="226" spans="1:27" ht="18" hidden="1" customHeight="1" outlineLevel="1" x14ac:dyDescent="0.25">
      <c r="A226" s="479" t="s">
        <v>620</v>
      </c>
      <c r="B226" s="422" t="s">
        <v>621</v>
      </c>
      <c r="C226" s="445" t="s">
        <v>45</v>
      </c>
      <c r="D226" s="475" t="s">
        <v>42</v>
      </c>
      <c r="E226" s="475" t="s">
        <v>54</v>
      </c>
      <c r="F226" s="461">
        <f t="shared" si="61"/>
        <v>53.44</v>
      </c>
      <c r="G226" s="461">
        <v>1</v>
      </c>
      <c r="H226" s="461"/>
      <c r="I226" s="461"/>
      <c r="J226" s="461"/>
      <c r="K226" s="461"/>
      <c r="L226" s="725"/>
      <c r="M226" s="463">
        <f t="shared" si="62"/>
        <v>53.44</v>
      </c>
      <c r="N226" s="463">
        <f t="shared" si="64"/>
        <v>5.34</v>
      </c>
      <c r="O226" s="463">
        <f t="shared" si="65"/>
        <v>14.05</v>
      </c>
      <c r="P226" s="463">
        <f t="shared" si="66"/>
        <v>159.79</v>
      </c>
      <c r="Q226" s="463">
        <f t="shared" si="67"/>
        <v>232.62</v>
      </c>
      <c r="R226" s="463">
        <f t="shared" si="68"/>
        <v>96.06</v>
      </c>
      <c r="S226" s="463">
        <f t="shared" si="69"/>
        <v>46.05</v>
      </c>
      <c r="T226" s="463">
        <f t="shared" si="63"/>
        <v>301.89999999999998</v>
      </c>
      <c r="U226" s="472"/>
      <c r="V226" s="472"/>
      <c r="W226" s="472"/>
      <c r="X226" s="574">
        <f t="shared" si="70"/>
        <v>232.62</v>
      </c>
      <c r="Y226" s="422" t="b">
        <f t="shared" si="71"/>
        <v>1</v>
      </c>
      <c r="Z226" s="574">
        <f t="shared" si="72"/>
        <v>374.73</v>
      </c>
      <c r="AA226" s="710">
        <f t="shared" si="73"/>
        <v>0.41</v>
      </c>
    </row>
    <row r="227" spans="1:27" ht="18" hidden="1" customHeight="1" outlineLevel="1" x14ac:dyDescent="0.25">
      <c r="A227" s="479" t="s">
        <v>622</v>
      </c>
      <c r="B227" s="422" t="s">
        <v>623</v>
      </c>
      <c r="C227" s="445" t="s">
        <v>624</v>
      </c>
      <c r="D227" s="475" t="s">
        <v>42</v>
      </c>
      <c r="E227" s="475" t="s">
        <v>54</v>
      </c>
      <c r="F227" s="461">
        <f t="shared" si="61"/>
        <v>53.44</v>
      </c>
      <c r="G227" s="461">
        <v>0.25</v>
      </c>
      <c r="H227" s="461"/>
      <c r="I227" s="461"/>
      <c r="J227" s="461"/>
      <c r="K227" s="461"/>
      <c r="L227" s="725"/>
      <c r="M227" s="463">
        <f t="shared" si="62"/>
        <v>13.36</v>
      </c>
      <c r="N227" s="463">
        <f t="shared" si="64"/>
        <v>1.34</v>
      </c>
      <c r="O227" s="463">
        <f t="shared" si="65"/>
        <v>3.51</v>
      </c>
      <c r="P227" s="463">
        <f t="shared" si="66"/>
        <v>39.950000000000003</v>
      </c>
      <c r="Q227" s="463">
        <f t="shared" si="67"/>
        <v>58.16</v>
      </c>
      <c r="R227" s="463">
        <f t="shared" si="68"/>
        <v>24.03</v>
      </c>
      <c r="S227" s="463">
        <f t="shared" si="69"/>
        <v>11.52</v>
      </c>
      <c r="T227" s="463">
        <f t="shared" si="63"/>
        <v>75.5</v>
      </c>
      <c r="U227" s="472"/>
      <c r="V227" s="472"/>
      <c r="W227" s="472"/>
      <c r="X227" s="574">
        <f t="shared" si="70"/>
        <v>58.16</v>
      </c>
      <c r="Y227" s="422" t="b">
        <f t="shared" si="71"/>
        <v>1</v>
      </c>
      <c r="Z227" s="574">
        <f t="shared" si="72"/>
        <v>93.71</v>
      </c>
      <c r="AA227" s="710">
        <f t="shared" si="73"/>
        <v>0.41</v>
      </c>
    </row>
    <row r="228" spans="1:27" ht="18" hidden="1" customHeight="1" outlineLevel="1" x14ac:dyDescent="0.25">
      <c r="A228" s="479" t="s">
        <v>625</v>
      </c>
      <c r="B228" s="422" t="s">
        <v>626</v>
      </c>
      <c r="C228" s="445" t="s">
        <v>627</v>
      </c>
      <c r="D228" s="475" t="s">
        <v>42</v>
      </c>
      <c r="E228" s="475" t="s">
        <v>54</v>
      </c>
      <c r="F228" s="461">
        <f t="shared" si="61"/>
        <v>53.44</v>
      </c>
      <c r="G228" s="461">
        <v>0.1</v>
      </c>
      <c r="H228" s="461"/>
      <c r="I228" s="461"/>
      <c r="J228" s="461"/>
      <c r="K228" s="461"/>
      <c r="L228" s="725"/>
      <c r="M228" s="463">
        <f t="shared" si="62"/>
        <v>5.34</v>
      </c>
      <c r="N228" s="463">
        <f t="shared" si="64"/>
        <v>0.53</v>
      </c>
      <c r="O228" s="463">
        <f t="shared" si="65"/>
        <v>1.4</v>
      </c>
      <c r="P228" s="463">
        <f t="shared" si="66"/>
        <v>15.97</v>
      </c>
      <c r="Q228" s="463">
        <f t="shared" si="67"/>
        <v>23.24</v>
      </c>
      <c r="R228" s="463">
        <f t="shared" si="68"/>
        <v>9.6199999999999992</v>
      </c>
      <c r="S228" s="463">
        <f t="shared" si="69"/>
        <v>4.6100000000000003</v>
      </c>
      <c r="T228" s="463">
        <f t="shared" si="63"/>
        <v>30.2</v>
      </c>
      <c r="U228" s="472"/>
      <c r="V228" s="472"/>
      <c r="W228" s="472"/>
      <c r="X228" s="574">
        <f t="shared" si="70"/>
        <v>23.24</v>
      </c>
      <c r="Y228" s="422" t="b">
        <f t="shared" si="71"/>
        <v>1</v>
      </c>
      <c r="Z228" s="574">
        <f t="shared" si="72"/>
        <v>37.47</v>
      </c>
      <c r="AA228" s="710">
        <f t="shared" si="73"/>
        <v>0.41</v>
      </c>
    </row>
    <row r="229" spans="1:27" ht="18" hidden="1" customHeight="1" outlineLevel="1" x14ac:dyDescent="0.25">
      <c r="A229" s="479" t="s">
        <v>628</v>
      </c>
      <c r="B229" s="422" t="s">
        <v>629</v>
      </c>
      <c r="C229" s="445" t="s">
        <v>550</v>
      </c>
      <c r="D229" s="475" t="s">
        <v>42</v>
      </c>
      <c r="E229" s="475" t="s">
        <v>54</v>
      </c>
      <c r="F229" s="461">
        <f t="shared" si="61"/>
        <v>53.44</v>
      </c>
      <c r="G229" s="461">
        <v>0.63</v>
      </c>
      <c r="H229" s="461"/>
      <c r="I229" s="461"/>
      <c r="J229" s="461"/>
      <c r="K229" s="461"/>
      <c r="L229" s="725"/>
      <c r="M229" s="463">
        <f t="shared" si="62"/>
        <v>33.67</v>
      </c>
      <c r="N229" s="463">
        <f t="shared" si="64"/>
        <v>3.37</v>
      </c>
      <c r="O229" s="463">
        <f t="shared" si="65"/>
        <v>8.86</v>
      </c>
      <c r="P229" s="463">
        <f t="shared" si="66"/>
        <v>100.67</v>
      </c>
      <c r="Q229" s="463">
        <f t="shared" si="67"/>
        <v>146.57</v>
      </c>
      <c r="R229" s="463">
        <f t="shared" si="68"/>
        <v>60.52</v>
      </c>
      <c r="S229" s="463">
        <f t="shared" si="69"/>
        <v>29.01</v>
      </c>
      <c r="T229" s="463">
        <f t="shared" si="63"/>
        <v>190.2</v>
      </c>
      <c r="U229" s="472"/>
      <c r="V229" s="472"/>
      <c r="W229" s="472"/>
      <c r="X229" s="574">
        <f t="shared" si="70"/>
        <v>146.57</v>
      </c>
      <c r="Y229" s="422" t="b">
        <f t="shared" si="71"/>
        <v>1</v>
      </c>
      <c r="Z229" s="574">
        <f t="shared" si="72"/>
        <v>236.1</v>
      </c>
      <c r="AA229" s="710">
        <f t="shared" si="73"/>
        <v>0.41</v>
      </c>
    </row>
    <row r="230" spans="1:27" ht="18" hidden="1" customHeight="1" outlineLevel="1" x14ac:dyDescent="0.25">
      <c r="A230" s="479" t="s">
        <v>630</v>
      </c>
      <c r="B230" s="422" t="s">
        <v>631</v>
      </c>
      <c r="C230" s="445" t="s">
        <v>45</v>
      </c>
      <c r="D230" s="475" t="s">
        <v>42</v>
      </c>
      <c r="E230" s="475" t="s">
        <v>54</v>
      </c>
      <c r="F230" s="461">
        <f t="shared" si="61"/>
        <v>53.44</v>
      </c>
      <c r="G230" s="461">
        <v>1</v>
      </c>
      <c r="H230" s="461"/>
      <c r="I230" s="461"/>
      <c r="J230" s="461"/>
      <c r="K230" s="461"/>
      <c r="L230" s="725"/>
      <c r="M230" s="463">
        <f t="shared" si="62"/>
        <v>53.44</v>
      </c>
      <c r="N230" s="463">
        <f t="shared" si="64"/>
        <v>5.34</v>
      </c>
      <c r="O230" s="463">
        <f t="shared" si="65"/>
        <v>14.05</v>
      </c>
      <c r="P230" s="463">
        <f t="shared" si="66"/>
        <v>159.79</v>
      </c>
      <c r="Q230" s="463">
        <f t="shared" si="67"/>
        <v>232.62</v>
      </c>
      <c r="R230" s="463">
        <f t="shared" si="68"/>
        <v>96.06</v>
      </c>
      <c r="S230" s="463">
        <f t="shared" si="69"/>
        <v>46.05</v>
      </c>
      <c r="T230" s="463">
        <f t="shared" si="63"/>
        <v>301.89999999999998</v>
      </c>
      <c r="U230" s="472"/>
      <c r="V230" s="472"/>
      <c r="W230" s="472"/>
      <c r="X230" s="574">
        <f t="shared" si="70"/>
        <v>232.62</v>
      </c>
      <c r="Y230" s="422" t="b">
        <f t="shared" si="71"/>
        <v>1</v>
      </c>
      <c r="Z230" s="574">
        <f t="shared" si="72"/>
        <v>374.73</v>
      </c>
      <c r="AA230" s="710">
        <f t="shared" si="73"/>
        <v>0.41</v>
      </c>
    </row>
    <row r="231" spans="1:27" ht="18" hidden="1" customHeight="1" outlineLevel="1" x14ac:dyDescent="0.25">
      <c r="A231" s="479" t="s">
        <v>632</v>
      </c>
      <c r="B231" s="422" t="s">
        <v>633</v>
      </c>
      <c r="C231" s="445" t="s">
        <v>45</v>
      </c>
      <c r="D231" s="475" t="s">
        <v>42</v>
      </c>
      <c r="E231" s="475" t="s">
        <v>54</v>
      </c>
      <c r="F231" s="461">
        <f t="shared" si="61"/>
        <v>53.44</v>
      </c>
      <c r="G231" s="461">
        <v>0.52</v>
      </c>
      <c r="H231" s="461"/>
      <c r="I231" s="461"/>
      <c r="J231" s="461"/>
      <c r="K231" s="461"/>
      <c r="L231" s="725"/>
      <c r="M231" s="463">
        <f t="shared" si="62"/>
        <v>27.79</v>
      </c>
      <c r="N231" s="463">
        <f t="shared" si="64"/>
        <v>2.78</v>
      </c>
      <c r="O231" s="463">
        <f t="shared" si="65"/>
        <v>7.31</v>
      </c>
      <c r="P231" s="463">
        <f t="shared" si="66"/>
        <v>83.09</v>
      </c>
      <c r="Q231" s="463">
        <f t="shared" si="67"/>
        <v>120.97</v>
      </c>
      <c r="R231" s="463">
        <f t="shared" si="68"/>
        <v>49.96</v>
      </c>
      <c r="S231" s="463">
        <f t="shared" si="69"/>
        <v>23.95</v>
      </c>
      <c r="T231" s="463">
        <f t="shared" si="63"/>
        <v>157</v>
      </c>
      <c r="U231" s="472"/>
      <c r="V231" s="472"/>
      <c r="W231" s="472"/>
      <c r="X231" s="574">
        <f t="shared" si="70"/>
        <v>120.97</v>
      </c>
      <c r="Y231" s="422" t="b">
        <f t="shared" si="71"/>
        <v>1</v>
      </c>
      <c r="Z231" s="574">
        <f t="shared" si="72"/>
        <v>194.88</v>
      </c>
      <c r="AA231" s="710">
        <f t="shared" si="73"/>
        <v>0.41</v>
      </c>
    </row>
    <row r="232" spans="1:27" ht="18" hidden="1" customHeight="1" outlineLevel="1" x14ac:dyDescent="0.25">
      <c r="A232" s="479" t="s">
        <v>634</v>
      </c>
      <c r="B232" s="422" t="s">
        <v>635</v>
      </c>
      <c r="C232" s="445" t="s">
        <v>45</v>
      </c>
      <c r="D232" s="475" t="s">
        <v>42</v>
      </c>
      <c r="E232" s="475" t="s">
        <v>54</v>
      </c>
      <c r="F232" s="461">
        <f t="shared" si="61"/>
        <v>53.44</v>
      </c>
      <c r="G232" s="461">
        <v>0.32</v>
      </c>
      <c r="H232" s="461"/>
      <c r="I232" s="461"/>
      <c r="J232" s="461"/>
      <c r="K232" s="461"/>
      <c r="L232" s="725"/>
      <c r="M232" s="463">
        <f t="shared" si="62"/>
        <v>17.100000000000001</v>
      </c>
      <c r="N232" s="463">
        <f t="shared" si="64"/>
        <v>1.71</v>
      </c>
      <c r="O232" s="463">
        <f t="shared" si="65"/>
        <v>4.5</v>
      </c>
      <c r="P232" s="463">
        <f t="shared" si="66"/>
        <v>51.13</v>
      </c>
      <c r="Q232" s="463">
        <f t="shared" si="67"/>
        <v>74.44</v>
      </c>
      <c r="R232" s="463">
        <f t="shared" si="68"/>
        <v>30.73</v>
      </c>
      <c r="S232" s="463">
        <f t="shared" si="69"/>
        <v>14.73</v>
      </c>
      <c r="T232" s="463">
        <f t="shared" si="63"/>
        <v>96.6</v>
      </c>
      <c r="U232" s="472"/>
      <c r="V232" s="472"/>
      <c r="W232" s="472"/>
      <c r="X232" s="574">
        <f t="shared" si="70"/>
        <v>74.44</v>
      </c>
      <c r="Y232" s="422" t="b">
        <f t="shared" si="71"/>
        <v>1</v>
      </c>
      <c r="Z232" s="574">
        <f t="shared" si="72"/>
        <v>119.9</v>
      </c>
      <c r="AA232" s="710">
        <f t="shared" si="73"/>
        <v>0.41</v>
      </c>
    </row>
    <row r="233" spans="1:27" ht="18" hidden="1" customHeight="1" outlineLevel="1" x14ac:dyDescent="0.25">
      <c r="A233" s="479" t="s">
        <v>636</v>
      </c>
      <c r="B233" s="422" t="s">
        <v>637</v>
      </c>
      <c r="C233" s="445" t="s">
        <v>436</v>
      </c>
      <c r="D233" s="475" t="s">
        <v>42</v>
      </c>
      <c r="E233" s="475" t="s">
        <v>54</v>
      </c>
      <c r="F233" s="461">
        <f t="shared" si="61"/>
        <v>53.44</v>
      </c>
      <c r="G233" s="461">
        <v>0.4</v>
      </c>
      <c r="H233" s="461"/>
      <c r="I233" s="461"/>
      <c r="J233" s="461"/>
      <c r="K233" s="461"/>
      <c r="L233" s="725"/>
      <c r="M233" s="463">
        <f t="shared" si="62"/>
        <v>21.38</v>
      </c>
      <c r="N233" s="463">
        <f t="shared" si="64"/>
        <v>2.14</v>
      </c>
      <c r="O233" s="463">
        <f t="shared" si="65"/>
        <v>5.62</v>
      </c>
      <c r="P233" s="463">
        <f t="shared" si="66"/>
        <v>63.93</v>
      </c>
      <c r="Q233" s="463">
        <f t="shared" si="67"/>
        <v>93.07</v>
      </c>
      <c r="R233" s="463">
        <f t="shared" si="68"/>
        <v>38.44</v>
      </c>
      <c r="S233" s="463">
        <f t="shared" si="69"/>
        <v>18.43</v>
      </c>
      <c r="T233" s="463">
        <f t="shared" si="63"/>
        <v>120.8</v>
      </c>
      <c r="U233" s="472"/>
      <c r="V233" s="472"/>
      <c r="W233" s="472"/>
      <c r="X233" s="574">
        <f t="shared" si="70"/>
        <v>93.07</v>
      </c>
      <c r="Y233" s="422" t="b">
        <f t="shared" si="71"/>
        <v>1</v>
      </c>
      <c r="Z233" s="574">
        <f t="shared" si="72"/>
        <v>149.94</v>
      </c>
      <c r="AA233" s="710">
        <f t="shared" si="73"/>
        <v>0.41</v>
      </c>
    </row>
    <row r="234" spans="1:27" ht="18" hidden="1" customHeight="1" outlineLevel="1" x14ac:dyDescent="0.25">
      <c r="A234" s="479" t="s">
        <v>638</v>
      </c>
      <c r="B234" s="422" t="s">
        <v>639</v>
      </c>
      <c r="C234" s="445" t="s">
        <v>45</v>
      </c>
      <c r="D234" s="475" t="s">
        <v>42</v>
      </c>
      <c r="E234" s="475" t="s">
        <v>54</v>
      </c>
      <c r="F234" s="461">
        <f t="shared" si="61"/>
        <v>53.44</v>
      </c>
      <c r="G234" s="461">
        <v>0.55000000000000004</v>
      </c>
      <c r="H234" s="461"/>
      <c r="I234" s="461"/>
      <c r="J234" s="461"/>
      <c r="K234" s="461"/>
      <c r="L234" s="725"/>
      <c r="M234" s="463">
        <f t="shared" si="62"/>
        <v>29.39</v>
      </c>
      <c r="N234" s="463">
        <f t="shared" si="64"/>
        <v>2.94</v>
      </c>
      <c r="O234" s="463">
        <f t="shared" si="65"/>
        <v>7.73</v>
      </c>
      <c r="P234" s="463">
        <f t="shared" si="66"/>
        <v>87.88</v>
      </c>
      <c r="Q234" s="463">
        <f t="shared" si="67"/>
        <v>127.94</v>
      </c>
      <c r="R234" s="463">
        <f t="shared" si="68"/>
        <v>52.88</v>
      </c>
      <c r="S234" s="463">
        <f t="shared" si="69"/>
        <v>25.34</v>
      </c>
      <c r="T234" s="463">
        <f t="shared" si="63"/>
        <v>166.1</v>
      </c>
      <c r="U234" s="472"/>
      <c r="V234" s="472"/>
      <c r="W234" s="472"/>
      <c r="X234" s="574">
        <f t="shared" si="70"/>
        <v>127.94</v>
      </c>
      <c r="Y234" s="422" t="b">
        <f t="shared" si="71"/>
        <v>1</v>
      </c>
      <c r="Z234" s="574">
        <f t="shared" si="72"/>
        <v>206.16</v>
      </c>
      <c r="AA234" s="710">
        <f t="shared" si="73"/>
        <v>0.41</v>
      </c>
    </row>
    <row r="235" spans="1:27" ht="18" hidden="1" customHeight="1" outlineLevel="1" x14ac:dyDescent="0.25">
      <c r="A235" s="479" t="s">
        <v>640</v>
      </c>
      <c r="B235" s="422" t="s">
        <v>641</v>
      </c>
      <c r="C235" s="445" t="s">
        <v>45</v>
      </c>
      <c r="D235" s="475" t="s">
        <v>42</v>
      </c>
      <c r="E235" s="475" t="s">
        <v>54</v>
      </c>
      <c r="F235" s="461">
        <f t="shared" si="61"/>
        <v>53.44</v>
      </c>
      <c r="G235" s="461">
        <v>0.75</v>
      </c>
      <c r="H235" s="461"/>
      <c r="I235" s="461"/>
      <c r="J235" s="461"/>
      <c r="K235" s="461"/>
      <c r="L235" s="725"/>
      <c r="M235" s="463">
        <f t="shared" si="62"/>
        <v>40.08</v>
      </c>
      <c r="N235" s="463">
        <f t="shared" si="64"/>
        <v>4.01</v>
      </c>
      <c r="O235" s="463">
        <f t="shared" si="65"/>
        <v>10.54</v>
      </c>
      <c r="P235" s="463">
        <f t="shared" si="66"/>
        <v>119.84</v>
      </c>
      <c r="Q235" s="463">
        <f t="shared" si="67"/>
        <v>174.47</v>
      </c>
      <c r="R235" s="463">
        <f t="shared" si="68"/>
        <v>72.11</v>
      </c>
      <c r="S235" s="463">
        <f t="shared" si="69"/>
        <v>34.549999999999997</v>
      </c>
      <c r="T235" s="463">
        <f t="shared" si="63"/>
        <v>226.5</v>
      </c>
      <c r="U235" s="472"/>
      <c r="V235" s="472"/>
      <c r="W235" s="472"/>
      <c r="X235" s="574">
        <f t="shared" si="70"/>
        <v>174.47</v>
      </c>
      <c r="Y235" s="422" t="b">
        <f t="shared" si="71"/>
        <v>1</v>
      </c>
      <c r="Z235" s="574">
        <f t="shared" si="72"/>
        <v>281.13</v>
      </c>
      <c r="AA235" s="710">
        <f t="shared" si="73"/>
        <v>0.41</v>
      </c>
    </row>
    <row r="236" spans="1:27" ht="13.5" hidden="1" customHeight="1" outlineLevel="1" x14ac:dyDescent="0.25">
      <c r="A236" s="479"/>
      <c r="B236" s="422" t="s">
        <v>642</v>
      </c>
      <c r="C236" s="445"/>
      <c r="D236" s="475"/>
      <c r="E236" s="475"/>
      <c r="F236" s="461"/>
      <c r="G236" s="461"/>
      <c r="H236" s="461"/>
      <c r="I236" s="461"/>
      <c r="J236" s="461"/>
      <c r="K236" s="461"/>
      <c r="L236" s="725"/>
      <c r="M236" s="463"/>
      <c r="N236" s="463">
        <f t="shared" si="64"/>
        <v>0</v>
      </c>
      <c r="O236" s="463">
        <f t="shared" si="65"/>
        <v>0</v>
      </c>
      <c r="P236" s="463">
        <f t="shared" si="66"/>
        <v>0</v>
      </c>
      <c r="Q236" s="463">
        <f t="shared" si="67"/>
        <v>0</v>
      </c>
      <c r="R236" s="463">
        <f t="shared" si="68"/>
        <v>0</v>
      </c>
      <c r="S236" s="463">
        <f t="shared" si="69"/>
        <v>0</v>
      </c>
      <c r="T236" s="463"/>
      <c r="U236" s="472"/>
      <c r="V236" s="472"/>
      <c r="W236" s="472"/>
      <c r="X236" s="574">
        <f t="shared" si="70"/>
        <v>0</v>
      </c>
      <c r="Y236" s="422" t="b">
        <f t="shared" si="71"/>
        <v>1</v>
      </c>
      <c r="Z236" s="574">
        <f t="shared" si="72"/>
        <v>0</v>
      </c>
      <c r="AA236" s="710" t="e">
        <f t="shared" si="73"/>
        <v>#DIV/0!</v>
      </c>
    </row>
    <row r="237" spans="1:27" ht="18" hidden="1" customHeight="1" outlineLevel="1" x14ac:dyDescent="0.25">
      <c r="A237" s="479" t="s">
        <v>643</v>
      </c>
      <c r="B237" s="422" t="s">
        <v>644</v>
      </c>
      <c r="C237" s="445" t="s">
        <v>45</v>
      </c>
      <c r="D237" s="475" t="s">
        <v>42</v>
      </c>
      <c r="E237" s="475" t="s">
        <v>54</v>
      </c>
      <c r="F237" s="461">
        <f>$F$29</f>
        <v>53.44</v>
      </c>
      <c r="G237" s="461">
        <v>0.25</v>
      </c>
      <c r="H237" s="461"/>
      <c r="I237" s="461"/>
      <c r="J237" s="461"/>
      <c r="K237" s="461"/>
      <c r="L237" s="725"/>
      <c r="M237" s="463">
        <f>F237*G237</f>
        <v>13.36</v>
      </c>
      <c r="N237" s="463">
        <f t="shared" si="64"/>
        <v>1.34</v>
      </c>
      <c r="O237" s="463">
        <f t="shared" si="65"/>
        <v>3.51</v>
      </c>
      <c r="P237" s="463">
        <f t="shared" si="66"/>
        <v>39.950000000000003</v>
      </c>
      <c r="Q237" s="463">
        <f t="shared" si="67"/>
        <v>58.16</v>
      </c>
      <c r="R237" s="463">
        <f t="shared" si="68"/>
        <v>24.03</v>
      </c>
      <c r="S237" s="463">
        <f t="shared" si="69"/>
        <v>11.52</v>
      </c>
      <c r="T237" s="463">
        <f>ROUND(Q237*1.298,1)</f>
        <v>75.5</v>
      </c>
      <c r="U237" s="472"/>
      <c r="V237" s="472"/>
      <c r="W237" s="472"/>
      <c r="X237" s="574">
        <f t="shared" si="70"/>
        <v>58.16</v>
      </c>
      <c r="Y237" s="422" t="b">
        <f t="shared" si="71"/>
        <v>1</v>
      </c>
      <c r="Z237" s="574">
        <f t="shared" si="72"/>
        <v>93.71</v>
      </c>
      <c r="AA237" s="710">
        <f t="shared" si="73"/>
        <v>0.41</v>
      </c>
    </row>
    <row r="238" spans="1:27" ht="18" hidden="1" customHeight="1" outlineLevel="1" x14ac:dyDescent="0.25">
      <c r="A238" s="479" t="s">
        <v>645</v>
      </c>
      <c r="B238" s="422" t="s">
        <v>646</v>
      </c>
      <c r="C238" s="445" t="s">
        <v>436</v>
      </c>
      <c r="D238" s="475" t="s">
        <v>42</v>
      </c>
      <c r="E238" s="475" t="s">
        <v>54</v>
      </c>
      <c r="F238" s="461">
        <f>$F$29</f>
        <v>53.44</v>
      </c>
      <c r="G238" s="461">
        <v>1.25</v>
      </c>
      <c r="H238" s="461"/>
      <c r="I238" s="461"/>
      <c r="J238" s="461"/>
      <c r="K238" s="461"/>
      <c r="L238" s="725"/>
      <c r="M238" s="463">
        <f>F238*G238</f>
        <v>66.8</v>
      </c>
      <c r="N238" s="463">
        <f t="shared" si="64"/>
        <v>6.68</v>
      </c>
      <c r="O238" s="463">
        <f t="shared" si="65"/>
        <v>17.57</v>
      </c>
      <c r="P238" s="463">
        <f t="shared" si="66"/>
        <v>199.73</v>
      </c>
      <c r="Q238" s="463">
        <f t="shared" si="67"/>
        <v>290.77999999999997</v>
      </c>
      <c r="R238" s="463">
        <f t="shared" si="68"/>
        <v>120.1</v>
      </c>
      <c r="S238" s="463">
        <f t="shared" si="69"/>
        <v>57.57</v>
      </c>
      <c r="T238" s="463">
        <f>ROUND(Q238*1.298,1)</f>
        <v>377.4</v>
      </c>
      <c r="U238" s="472"/>
      <c r="V238" s="472"/>
      <c r="W238" s="472"/>
      <c r="X238" s="574">
        <f t="shared" si="70"/>
        <v>290.77999999999997</v>
      </c>
      <c r="Y238" s="422" t="b">
        <f t="shared" si="71"/>
        <v>1</v>
      </c>
      <c r="Z238" s="574">
        <f t="shared" si="72"/>
        <v>468.45</v>
      </c>
      <c r="AA238" s="710">
        <f t="shared" si="73"/>
        <v>0.41</v>
      </c>
    </row>
    <row r="239" spans="1:27" ht="18" hidden="1" customHeight="1" outlineLevel="1" x14ac:dyDescent="0.25">
      <c r="A239" s="479" t="s">
        <v>647</v>
      </c>
      <c r="B239" s="422" t="s">
        <v>648</v>
      </c>
      <c r="C239" s="445" t="s">
        <v>86</v>
      </c>
      <c r="D239" s="475" t="s">
        <v>42</v>
      </c>
      <c r="E239" s="475" t="s">
        <v>54</v>
      </c>
      <c r="F239" s="461">
        <f>$F$29</f>
        <v>53.44</v>
      </c>
      <c r="G239" s="461">
        <v>0.8</v>
      </c>
      <c r="H239" s="461"/>
      <c r="I239" s="461"/>
      <c r="J239" s="461"/>
      <c r="K239" s="461"/>
      <c r="L239" s="725"/>
      <c r="M239" s="463">
        <f>F239*G239</f>
        <v>42.75</v>
      </c>
      <c r="N239" s="463">
        <f t="shared" si="64"/>
        <v>4.28</v>
      </c>
      <c r="O239" s="463">
        <f t="shared" si="65"/>
        <v>11.24</v>
      </c>
      <c r="P239" s="463">
        <f t="shared" si="66"/>
        <v>127.82</v>
      </c>
      <c r="Q239" s="463">
        <f t="shared" si="67"/>
        <v>186.09</v>
      </c>
      <c r="R239" s="463">
        <f t="shared" si="68"/>
        <v>76.84</v>
      </c>
      <c r="S239" s="463">
        <f t="shared" si="69"/>
        <v>36.840000000000003</v>
      </c>
      <c r="T239" s="463">
        <f>ROUND(Q239*1.298,1)</f>
        <v>241.5</v>
      </c>
      <c r="U239" s="472"/>
      <c r="V239" s="472"/>
      <c r="W239" s="472"/>
      <c r="X239" s="574">
        <f t="shared" si="70"/>
        <v>186.09</v>
      </c>
      <c r="Y239" s="422" t="b">
        <f t="shared" si="71"/>
        <v>1</v>
      </c>
      <c r="Z239" s="574">
        <f t="shared" si="72"/>
        <v>299.77</v>
      </c>
      <c r="AA239" s="710">
        <f t="shared" si="73"/>
        <v>0.41</v>
      </c>
    </row>
    <row r="240" spans="1:27" ht="18" hidden="1" customHeight="1" outlineLevel="1" x14ac:dyDescent="0.25">
      <c r="A240" s="479" t="s">
        <v>649</v>
      </c>
      <c r="B240" s="422" t="s">
        <v>650</v>
      </c>
      <c r="C240" s="445" t="s">
        <v>436</v>
      </c>
      <c r="D240" s="475" t="s">
        <v>42</v>
      </c>
      <c r="E240" s="475" t="s">
        <v>54</v>
      </c>
      <c r="F240" s="461">
        <f>$F$29</f>
        <v>53.44</v>
      </c>
      <c r="G240" s="461">
        <v>1</v>
      </c>
      <c r="H240" s="461"/>
      <c r="I240" s="461"/>
      <c r="J240" s="461"/>
      <c r="K240" s="461"/>
      <c r="L240" s="725"/>
      <c r="M240" s="463">
        <f>F240*G240</f>
        <v>53.44</v>
      </c>
      <c r="N240" s="463">
        <f t="shared" si="64"/>
        <v>5.34</v>
      </c>
      <c r="O240" s="463">
        <f t="shared" si="65"/>
        <v>14.05</v>
      </c>
      <c r="P240" s="463">
        <f t="shared" si="66"/>
        <v>159.79</v>
      </c>
      <c r="Q240" s="463">
        <f t="shared" si="67"/>
        <v>232.62</v>
      </c>
      <c r="R240" s="463">
        <f t="shared" si="68"/>
        <v>96.06</v>
      </c>
      <c r="S240" s="463">
        <f t="shared" si="69"/>
        <v>46.05</v>
      </c>
      <c r="T240" s="463">
        <f>ROUND(Q240*1.298,1)</f>
        <v>301.89999999999998</v>
      </c>
      <c r="U240" s="472"/>
      <c r="V240" s="472"/>
      <c r="W240" s="472"/>
      <c r="X240" s="574">
        <f t="shared" si="70"/>
        <v>232.62</v>
      </c>
      <c r="Y240" s="422" t="b">
        <f t="shared" si="71"/>
        <v>1</v>
      </c>
      <c r="Z240" s="574">
        <f t="shared" si="72"/>
        <v>374.73</v>
      </c>
      <c r="AA240" s="710">
        <f t="shared" si="73"/>
        <v>0.41</v>
      </c>
    </row>
    <row r="241" spans="1:27" ht="18" hidden="1" customHeight="1" outlineLevel="1" x14ac:dyDescent="0.25">
      <c r="A241" s="479" t="s">
        <v>651</v>
      </c>
      <c r="B241" s="422" t="s">
        <v>652</v>
      </c>
      <c r="C241" s="445"/>
      <c r="D241" s="475"/>
      <c r="E241" s="475"/>
      <c r="F241" s="461"/>
      <c r="G241" s="461"/>
      <c r="H241" s="461"/>
      <c r="I241" s="461"/>
      <c r="J241" s="461"/>
      <c r="K241" s="461"/>
      <c r="L241" s="725"/>
      <c r="M241" s="463"/>
      <c r="N241" s="463">
        <f t="shared" si="64"/>
        <v>0</v>
      </c>
      <c r="O241" s="463">
        <f t="shared" si="65"/>
        <v>0</v>
      </c>
      <c r="P241" s="463">
        <f t="shared" si="66"/>
        <v>0</v>
      </c>
      <c r="Q241" s="463">
        <f t="shared" si="67"/>
        <v>0</v>
      </c>
      <c r="R241" s="463">
        <f t="shared" si="68"/>
        <v>0</v>
      </c>
      <c r="S241" s="463">
        <f t="shared" si="69"/>
        <v>0</v>
      </c>
      <c r="T241" s="463"/>
      <c r="U241" s="472"/>
      <c r="V241" s="472"/>
      <c r="W241" s="472"/>
      <c r="X241" s="574">
        <f t="shared" si="70"/>
        <v>0</v>
      </c>
      <c r="Y241" s="422" t="b">
        <f t="shared" si="71"/>
        <v>1</v>
      </c>
      <c r="Z241" s="574">
        <f t="shared" si="72"/>
        <v>0</v>
      </c>
      <c r="AA241" s="710" t="e">
        <f t="shared" si="73"/>
        <v>#DIV/0!</v>
      </c>
    </row>
    <row r="242" spans="1:27" ht="12.75" hidden="1" customHeight="1" outlineLevel="1" x14ac:dyDescent="0.25">
      <c r="A242" s="479"/>
      <c r="B242" s="422" t="s">
        <v>653</v>
      </c>
      <c r="C242" s="445" t="s">
        <v>45</v>
      </c>
      <c r="D242" s="475" t="s">
        <v>42</v>
      </c>
      <c r="E242" s="475" t="s">
        <v>54</v>
      </c>
      <c r="F242" s="461">
        <f>$F$29</f>
        <v>53.44</v>
      </c>
      <c r="G242" s="461">
        <v>0.5</v>
      </c>
      <c r="H242" s="461"/>
      <c r="I242" s="461"/>
      <c r="J242" s="461"/>
      <c r="K242" s="461"/>
      <c r="L242" s="725"/>
      <c r="M242" s="463">
        <f>F242*G242</f>
        <v>26.72</v>
      </c>
      <c r="N242" s="463">
        <f t="shared" si="64"/>
        <v>2.67</v>
      </c>
      <c r="O242" s="463">
        <f t="shared" si="65"/>
        <v>7.03</v>
      </c>
      <c r="P242" s="463">
        <f t="shared" si="66"/>
        <v>79.89</v>
      </c>
      <c r="Q242" s="463">
        <f t="shared" si="67"/>
        <v>116.31</v>
      </c>
      <c r="R242" s="463">
        <f t="shared" si="68"/>
        <v>48.08</v>
      </c>
      <c r="S242" s="463">
        <f t="shared" si="69"/>
        <v>23.03</v>
      </c>
      <c r="T242" s="463">
        <f>ROUND(Q242*1.298,1)</f>
        <v>151</v>
      </c>
      <c r="U242" s="472"/>
      <c r="V242" s="472"/>
      <c r="W242" s="472"/>
      <c r="X242" s="574">
        <f t="shared" si="70"/>
        <v>116.31</v>
      </c>
      <c r="Y242" s="422" t="b">
        <f t="shared" si="71"/>
        <v>1</v>
      </c>
      <c r="Z242" s="574">
        <f t="shared" si="72"/>
        <v>187.42</v>
      </c>
      <c r="AA242" s="710">
        <f t="shared" si="73"/>
        <v>0.41</v>
      </c>
    </row>
    <row r="243" spans="1:27" ht="18" hidden="1" customHeight="1" outlineLevel="1" x14ac:dyDescent="0.25">
      <c r="A243" s="479" t="s">
        <v>654</v>
      </c>
      <c r="B243" s="422" t="s">
        <v>655</v>
      </c>
      <c r="C243" s="445" t="s">
        <v>45</v>
      </c>
      <c r="D243" s="475" t="s">
        <v>42</v>
      </c>
      <c r="E243" s="475" t="s">
        <v>54</v>
      </c>
      <c r="F243" s="461">
        <f>$F$29</f>
        <v>53.44</v>
      </c>
      <c r="G243" s="461">
        <v>0.25</v>
      </c>
      <c r="H243" s="461"/>
      <c r="I243" s="461"/>
      <c r="J243" s="461"/>
      <c r="K243" s="461"/>
      <c r="L243" s="725"/>
      <c r="M243" s="463">
        <f>F243*G243</f>
        <v>13.36</v>
      </c>
      <c r="N243" s="463">
        <f t="shared" si="64"/>
        <v>1.34</v>
      </c>
      <c r="O243" s="463">
        <f t="shared" si="65"/>
        <v>3.51</v>
      </c>
      <c r="P243" s="463">
        <f t="shared" si="66"/>
        <v>39.950000000000003</v>
      </c>
      <c r="Q243" s="463">
        <f t="shared" si="67"/>
        <v>58.16</v>
      </c>
      <c r="R243" s="463">
        <f t="shared" si="68"/>
        <v>24.03</v>
      </c>
      <c r="S243" s="463">
        <f t="shared" si="69"/>
        <v>11.52</v>
      </c>
      <c r="T243" s="463">
        <f>ROUND(Q243*1.298,1)</f>
        <v>75.5</v>
      </c>
      <c r="U243" s="472"/>
      <c r="V243" s="472"/>
      <c r="W243" s="472"/>
      <c r="X243" s="574">
        <f t="shared" si="70"/>
        <v>58.16</v>
      </c>
      <c r="Y243" s="422" t="b">
        <f t="shared" si="71"/>
        <v>1</v>
      </c>
      <c r="Z243" s="574">
        <f t="shared" si="72"/>
        <v>93.71</v>
      </c>
      <c r="AA243" s="710">
        <f t="shared" si="73"/>
        <v>0.41</v>
      </c>
    </row>
    <row r="244" spans="1:27" ht="18" hidden="1" customHeight="1" outlineLevel="1" x14ac:dyDescent="0.25">
      <c r="A244" s="479" t="s">
        <v>656</v>
      </c>
      <c r="B244" s="422" t="s">
        <v>657</v>
      </c>
      <c r="C244" s="445"/>
      <c r="D244" s="475"/>
      <c r="E244" s="475"/>
      <c r="F244" s="461"/>
      <c r="G244" s="461"/>
      <c r="H244" s="461"/>
      <c r="I244" s="461"/>
      <c r="J244" s="461"/>
      <c r="K244" s="461"/>
      <c r="L244" s="725"/>
      <c r="M244" s="463"/>
      <c r="N244" s="463">
        <f t="shared" ref="N244:N307" si="74">M244*10%</f>
        <v>0</v>
      </c>
      <c r="O244" s="463">
        <f t="shared" ref="O244:O307" si="75">M244*26.3%</f>
        <v>0</v>
      </c>
      <c r="P244" s="463">
        <f t="shared" ref="P244:P307" si="76">M244*299%</f>
        <v>0</v>
      </c>
      <c r="Q244" s="463">
        <f t="shared" ref="Q244:Q307" si="77">M244+N244+O244+P244</f>
        <v>0</v>
      </c>
      <c r="R244" s="463">
        <f t="shared" ref="R244:R307" si="78">T244/1.18-P244</f>
        <v>0</v>
      </c>
      <c r="S244" s="463">
        <f t="shared" ref="S244:S307" si="79">(P244+R244)*18%</f>
        <v>0</v>
      </c>
      <c r="T244" s="463"/>
      <c r="U244" s="472"/>
      <c r="V244" s="472"/>
      <c r="W244" s="472"/>
      <c r="X244" s="574">
        <f t="shared" ref="X244:X307" si="80">M244+N244+O244+P244</f>
        <v>0</v>
      </c>
      <c r="Y244" s="422" t="b">
        <f t="shared" si="71"/>
        <v>1</v>
      </c>
      <c r="Z244" s="574">
        <f t="shared" si="72"/>
        <v>0</v>
      </c>
      <c r="AA244" s="710" t="e">
        <f t="shared" si="73"/>
        <v>#DIV/0!</v>
      </c>
    </row>
    <row r="245" spans="1:27" ht="12.75" hidden="1" customHeight="1" outlineLevel="1" x14ac:dyDescent="0.25">
      <c r="A245" s="479"/>
      <c r="B245" s="422" t="s">
        <v>658</v>
      </c>
      <c r="C245" s="445" t="s">
        <v>45</v>
      </c>
      <c r="D245" s="475" t="s">
        <v>42</v>
      </c>
      <c r="E245" s="475" t="s">
        <v>54</v>
      </c>
      <c r="F245" s="461">
        <f>$F$29</f>
        <v>53.44</v>
      </c>
      <c r="G245" s="461">
        <v>0.42</v>
      </c>
      <c r="H245" s="461"/>
      <c r="I245" s="461"/>
      <c r="J245" s="461"/>
      <c r="K245" s="461"/>
      <c r="L245" s="725"/>
      <c r="M245" s="463">
        <f>F245*G245</f>
        <v>22.44</v>
      </c>
      <c r="N245" s="463">
        <f t="shared" si="74"/>
        <v>2.2400000000000002</v>
      </c>
      <c r="O245" s="463">
        <f t="shared" si="75"/>
        <v>5.9</v>
      </c>
      <c r="P245" s="463">
        <f t="shared" si="76"/>
        <v>67.099999999999994</v>
      </c>
      <c r="Q245" s="463">
        <f t="shared" si="77"/>
        <v>97.68</v>
      </c>
      <c r="R245" s="463">
        <f t="shared" si="78"/>
        <v>40.36</v>
      </c>
      <c r="S245" s="463">
        <f t="shared" si="79"/>
        <v>19.34</v>
      </c>
      <c r="T245" s="463">
        <f>ROUND(Q245*1.298,1)</f>
        <v>126.8</v>
      </c>
      <c r="U245" s="472"/>
      <c r="V245" s="472"/>
      <c r="W245" s="472"/>
      <c r="X245" s="574">
        <f t="shared" si="80"/>
        <v>97.68</v>
      </c>
      <c r="Y245" s="422" t="b">
        <f t="shared" si="71"/>
        <v>1</v>
      </c>
      <c r="Z245" s="574">
        <f t="shared" si="72"/>
        <v>157.38</v>
      </c>
      <c r="AA245" s="710">
        <f t="shared" si="73"/>
        <v>0.41</v>
      </c>
    </row>
    <row r="246" spans="1:27" ht="18" hidden="1" customHeight="1" outlineLevel="1" x14ac:dyDescent="0.25">
      <c r="A246" s="479" t="s">
        <v>659</v>
      </c>
      <c r="B246" s="422" t="s">
        <v>660</v>
      </c>
      <c r="C246" s="445" t="s">
        <v>45</v>
      </c>
      <c r="D246" s="475" t="s">
        <v>42</v>
      </c>
      <c r="E246" s="475" t="s">
        <v>54</v>
      </c>
      <c r="F246" s="461">
        <f>$F$29</f>
        <v>53.44</v>
      </c>
      <c r="G246" s="461">
        <v>0.25</v>
      </c>
      <c r="H246" s="461"/>
      <c r="I246" s="461"/>
      <c r="J246" s="461"/>
      <c r="K246" s="461"/>
      <c r="L246" s="725"/>
      <c r="M246" s="463">
        <f>F246*G246</f>
        <v>13.36</v>
      </c>
      <c r="N246" s="463">
        <f t="shared" si="74"/>
        <v>1.34</v>
      </c>
      <c r="O246" s="463">
        <f t="shared" si="75"/>
        <v>3.51</v>
      </c>
      <c r="P246" s="463">
        <f t="shared" si="76"/>
        <v>39.950000000000003</v>
      </c>
      <c r="Q246" s="463">
        <f t="shared" si="77"/>
        <v>58.16</v>
      </c>
      <c r="R246" s="463">
        <f t="shared" si="78"/>
        <v>24.03</v>
      </c>
      <c r="S246" s="463">
        <f t="shared" si="79"/>
        <v>11.52</v>
      </c>
      <c r="T246" s="463">
        <f>ROUND(Q246*1.298,1)</f>
        <v>75.5</v>
      </c>
      <c r="U246" s="472"/>
      <c r="V246" s="472"/>
      <c r="W246" s="472"/>
      <c r="X246" s="574">
        <f t="shared" si="80"/>
        <v>58.16</v>
      </c>
      <c r="Y246" s="422" t="b">
        <f t="shared" si="71"/>
        <v>1</v>
      </c>
      <c r="Z246" s="574">
        <f t="shared" si="72"/>
        <v>93.71</v>
      </c>
      <c r="AA246" s="710">
        <f t="shared" si="73"/>
        <v>0.41</v>
      </c>
    </row>
    <row r="247" spans="1:27" ht="18" hidden="1" customHeight="1" outlineLevel="1" x14ac:dyDescent="0.25">
      <c r="A247" s="479" t="s">
        <v>661</v>
      </c>
      <c r="B247" s="422" t="s">
        <v>662</v>
      </c>
      <c r="C247" s="445" t="s">
        <v>45</v>
      </c>
      <c r="D247" s="475" t="s">
        <v>42</v>
      </c>
      <c r="E247" s="475" t="s">
        <v>54</v>
      </c>
      <c r="F247" s="461">
        <f>$F$29</f>
        <v>53.44</v>
      </c>
      <c r="G247" s="461">
        <v>0.5</v>
      </c>
      <c r="H247" s="461"/>
      <c r="I247" s="461"/>
      <c r="J247" s="461"/>
      <c r="K247" s="461"/>
      <c r="L247" s="725"/>
      <c r="M247" s="463">
        <f>F247*G247</f>
        <v>26.72</v>
      </c>
      <c r="N247" s="463">
        <f t="shared" si="74"/>
        <v>2.67</v>
      </c>
      <c r="O247" s="463">
        <f t="shared" si="75"/>
        <v>7.03</v>
      </c>
      <c r="P247" s="463">
        <f t="shared" si="76"/>
        <v>79.89</v>
      </c>
      <c r="Q247" s="463">
        <f t="shared" si="77"/>
        <v>116.31</v>
      </c>
      <c r="R247" s="463">
        <f t="shared" si="78"/>
        <v>48.08</v>
      </c>
      <c r="S247" s="463">
        <f t="shared" si="79"/>
        <v>23.03</v>
      </c>
      <c r="T247" s="463">
        <f>ROUND(Q247*1.298,1)</f>
        <v>151</v>
      </c>
      <c r="U247" s="472"/>
      <c r="V247" s="472"/>
      <c r="W247" s="472"/>
      <c r="X247" s="574">
        <f t="shared" si="80"/>
        <v>116.31</v>
      </c>
      <c r="Y247" s="422" t="b">
        <f t="shared" ref="Y247:Y310" si="81">Q247=X247</f>
        <v>1</v>
      </c>
      <c r="Z247" s="574">
        <f t="shared" ref="Z247:Z310" si="82">Q247+R247+S247</f>
        <v>187.42</v>
      </c>
      <c r="AA247" s="710">
        <f t="shared" ref="AA247:AA310" si="83">R247/Q247</f>
        <v>0.41</v>
      </c>
    </row>
    <row r="248" spans="1:27" ht="12.75" hidden="1" customHeight="1" outlineLevel="1" x14ac:dyDescent="0.25">
      <c r="A248" s="479"/>
      <c r="B248" s="422" t="s">
        <v>663</v>
      </c>
      <c r="C248" s="445"/>
      <c r="D248" s="475"/>
      <c r="E248" s="475"/>
      <c r="F248" s="461"/>
      <c r="G248" s="461"/>
      <c r="H248" s="461"/>
      <c r="I248" s="461"/>
      <c r="J248" s="461"/>
      <c r="K248" s="461"/>
      <c r="L248" s="725"/>
      <c r="M248" s="463"/>
      <c r="N248" s="463">
        <f t="shared" si="74"/>
        <v>0</v>
      </c>
      <c r="O248" s="463">
        <f t="shared" si="75"/>
        <v>0</v>
      </c>
      <c r="P248" s="463">
        <f t="shared" si="76"/>
        <v>0</v>
      </c>
      <c r="Q248" s="463">
        <f t="shared" si="77"/>
        <v>0</v>
      </c>
      <c r="R248" s="463">
        <f t="shared" si="78"/>
        <v>0</v>
      </c>
      <c r="S248" s="463">
        <f t="shared" si="79"/>
        <v>0</v>
      </c>
      <c r="T248" s="773"/>
      <c r="U248" s="472"/>
      <c r="V248" s="472"/>
      <c r="W248" s="472"/>
      <c r="X248" s="574">
        <f t="shared" si="80"/>
        <v>0</v>
      </c>
      <c r="Y248" s="422" t="b">
        <f t="shared" si="81"/>
        <v>1</v>
      </c>
      <c r="Z248" s="574">
        <f t="shared" si="82"/>
        <v>0</v>
      </c>
      <c r="AA248" s="710" t="e">
        <f t="shared" si="83"/>
        <v>#DIV/0!</v>
      </c>
    </row>
    <row r="249" spans="1:27" ht="18" hidden="1" customHeight="1" outlineLevel="1" x14ac:dyDescent="0.25">
      <c r="A249" s="479" t="s">
        <v>664</v>
      </c>
      <c r="B249" s="422" t="s">
        <v>665</v>
      </c>
      <c r="C249" s="445" t="s">
        <v>45</v>
      </c>
      <c r="D249" s="475" t="s">
        <v>42</v>
      </c>
      <c r="E249" s="475" t="s">
        <v>54</v>
      </c>
      <c r="F249" s="461">
        <f>$F$29</f>
        <v>53.44</v>
      </c>
      <c r="G249" s="461">
        <v>0.3</v>
      </c>
      <c r="H249" s="461"/>
      <c r="I249" s="461"/>
      <c r="J249" s="461"/>
      <c r="K249" s="461"/>
      <c r="L249" s="725"/>
      <c r="M249" s="463">
        <f>F249*G249</f>
        <v>16.03</v>
      </c>
      <c r="N249" s="463">
        <f t="shared" si="74"/>
        <v>1.6</v>
      </c>
      <c r="O249" s="463">
        <f t="shared" si="75"/>
        <v>4.22</v>
      </c>
      <c r="P249" s="463">
        <f t="shared" si="76"/>
        <v>47.93</v>
      </c>
      <c r="Q249" s="463">
        <f t="shared" si="77"/>
        <v>69.78</v>
      </c>
      <c r="R249" s="463">
        <f t="shared" si="78"/>
        <v>28.85</v>
      </c>
      <c r="S249" s="463">
        <f t="shared" si="79"/>
        <v>13.82</v>
      </c>
      <c r="T249" s="463">
        <f>ROUND(Q249*1.298,1)</f>
        <v>90.6</v>
      </c>
      <c r="U249" s="472"/>
      <c r="V249" s="472"/>
      <c r="W249" s="472"/>
      <c r="X249" s="574">
        <f t="shared" si="80"/>
        <v>69.78</v>
      </c>
      <c r="Y249" s="422" t="b">
        <f t="shared" si="81"/>
        <v>1</v>
      </c>
      <c r="Z249" s="574">
        <f t="shared" si="82"/>
        <v>112.45</v>
      </c>
      <c r="AA249" s="710">
        <f t="shared" si="83"/>
        <v>0.41</v>
      </c>
    </row>
    <row r="250" spans="1:27" ht="18" hidden="1" customHeight="1" outlineLevel="1" x14ac:dyDescent="0.25">
      <c r="A250" s="479" t="s">
        <v>666</v>
      </c>
      <c r="B250" s="422" t="s">
        <v>667</v>
      </c>
      <c r="C250" s="445" t="s">
        <v>45</v>
      </c>
      <c r="D250" s="475" t="s">
        <v>42</v>
      </c>
      <c r="E250" s="475" t="s">
        <v>54</v>
      </c>
      <c r="F250" s="461">
        <f>$F$29</f>
        <v>53.44</v>
      </c>
      <c r="G250" s="461">
        <v>0.25</v>
      </c>
      <c r="H250" s="461"/>
      <c r="I250" s="461"/>
      <c r="J250" s="461"/>
      <c r="K250" s="461"/>
      <c r="L250" s="725"/>
      <c r="M250" s="463">
        <f>F250*G250</f>
        <v>13.36</v>
      </c>
      <c r="N250" s="463">
        <f t="shared" si="74"/>
        <v>1.34</v>
      </c>
      <c r="O250" s="463">
        <f t="shared" si="75"/>
        <v>3.51</v>
      </c>
      <c r="P250" s="463">
        <f t="shared" si="76"/>
        <v>39.950000000000003</v>
      </c>
      <c r="Q250" s="463">
        <f t="shared" si="77"/>
        <v>58.16</v>
      </c>
      <c r="R250" s="463">
        <f t="shared" si="78"/>
        <v>24.03</v>
      </c>
      <c r="S250" s="463">
        <f t="shared" si="79"/>
        <v>11.52</v>
      </c>
      <c r="T250" s="463">
        <f>ROUND(Q250*1.298,1)</f>
        <v>75.5</v>
      </c>
      <c r="U250" s="472"/>
      <c r="V250" s="472"/>
      <c r="W250" s="472"/>
      <c r="X250" s="574">
        <f t="shared" si="80"/>
        <v>58.16</v>
      </c>
      <c r="Y250" s="422" t="b">
        <f t="shared" si="81"/>
        <v>1</v>
      </c>
      <c r="Z250" s="574">
        <f t="shared" si="82"/>
        <v>93.71</v>
      </c>
      <c r="AA250" s="710">
        <f t="shared" si="83"/>
        <v>0.41</v>
      </c>
    </row>
    <row r="251" spans="1:27" ht="12.75" hidden="1" customHeight="1" outlineLevel="1" x14ac:dyDescent="0.25">
      <c r="A251" s="479"/>
      <c r="B251" s="422" t="s">
        <v>668</v>
      </c>
      <c r="C251" s="445"/>
      <c r="D251" s="475"/>
      <c r="E251" s="475"/>
      <c r="F251" s="461"/>
      <c r="G251" s="461"/>
      <c r="H251" s="461"/>
      <c r="I251" s="461"/>
      <c r="J251" s="461"/>
      <c r="K251" s="461"/>
      <c r="L251" s="725"/>
      <c r="M251" s="463"/>
      <c r="N251" s="463">
        <f t="shared" si="74"/>
        <v>0</v>
      </c>
      <c r="O251" s="463">
        <f t="shared" si="75"/>
        <v>0</v>
      </c>
      <c r="P251" s="463">
        <f t="shared" si="76"/>
        <v>0</v>
      </c>
      <c r="Q251" s="463">
        <f t="shared" si="77"/>
        <v>0</v>
      </c>
      <c r="R251" s="463">
        <f t="shared" si="78"/>
        <v>0</v>
      </c>
      <c r="S251" s="463">
        <f t="shared" si="79"/>
        <v>0</v>
      </c>
      <c r="T251" s="773"/>
      <c r="U251" s="472"/>
      <c r="V251" s="472"/>
      <c r="W251" s="472"/>
      <c r="X251" s="574">
        <f t="shared" si="80"/>
        <v>0</v>
      </c>
      <c r="Y251" s="422" t="b">
        <f t="shared" si="81"/>
        <v>1</v>
      </c>
      <c r="Z251" s="574">
        <f t="shared" si="82"/>
        <v>0</v>
      </c>
      <c r="AA251" s="710" t="e">
        <f t="shared" si="83"/>
        <v>#DIV/0!</v>
      </c>
    </row>
    <row r="252" spans="1:27" ht="18" hidden="1" customHeight="1" outlineLevel="1" x14ac:dyDescent="0.25">
      <c r="A252" s="479" t="s">
        <v>669</v>
      </c>
      <c r="B252" s="422" t="s">
        <v>670</v>
      </c>
      <c r="C252" s="445" t="s">
        <v>45</v>
      </c>
      <c r="D252" s="475" t="s">
        <v>42</v>
      </c>
      <c r="E252" s="475" t="s">
        <v>54</v>
      </c>
      <c r="F252" s="461">
        <f t="shared" ref="F252:F264" si="84">$F$29</f>
        <v>53.44</v>
      </c>
      <c r="G252" s="461">
        <v>0.5</v>
      </c>
      <c r="H252" s="461"/>
      <c r="I252" s="461"/>
      <c r="J252" s="461"/>
      <c r="K252" s="461"/>
      <c r="L252" s="725"/>
      <c r="M252" s="463">
        <f t="shared" ref="M252:M265" si="85">F252*G252</f>
        <v>26.72</v>
      </c>
      <c r="N252" s="463">
        <f t="shared" si="74"/>
        <v>2.67</v>
      </c>
      <c r="O252" s="463">
        <f t="shared" si="75"/>
        <v>7.03</v>
      </c>
      <c r="P252" s="463">
        <f t="shared" si="76"/>
        <v>79.89</v>
      </c>
      <c r="Q252" s="463">
        <f t="shared" si="77"/>
        <v>116.31</v>
      </c>
      <c r="R252" s="463">
        <f t="shared" si="78"/>
        <v>48.08</v>
      </c>
      <c r="S252" s="463">
        <f t="shared" si="79"/>
        <v>23.03</v>
      </c>
      <c r="T252" s="463">
        <f t="shared" ref="T252:T265" si="86">ROUND(Q252*1.298,1)</f>
        <v>151</v>
      </c>
      <c r="U252" s="472"/>
      <c r="V252" s="472"/>
      <c r="W252" s="472"/>
      <c r="X252" s="574">
        <f t="shared" si="80"/>
        <v>116.31</v>
      </c>
      <c r="Y252" s="422" t="b">
        <f t="shared" si="81"/>
        <v>1</v>
      </c>
      <c r="Z252" s="574">
        <f t="shared" si="82"/>
        <v>187.42</v>
      </c>
      <c r="AA252" s="710">
        <f t="shared" si="83"/>
        <v>0.41</v>
      </c>
    </row>
    <row r="253" spans="1:27" ht="18" hidden="1" customHeight="1" outlineLevel="1" x14ac:dyDescent="0.25">
      <c r="A253" s="479" t="s">
        <v>671</v>
      </c>
      <c r="B253" s="422" t="s">
        <v>672</v>
      </c>
      <c r="C253" s="445" t="s">
        <v>45</v>
      </c>
      <c r="D253" s="475" t="s">
        <v>42</v>
      </c>
      <c r="E253" s="475" t="s">
        <v>54</v>
      </c>
      <c r="F253" s="461">
        <f t="shared" si="84"/>
        <v>53.44</v>
      </c>
      <c r="G253" s="461">
        <v>0.5</v>
      </c>
      <c r="H253" s="461"/>
      <c r="I253" s="461"/>
      <c r="J253" s="461"/>
      <c r="K253" s="461"/>
      <c r="L253" s="725"/>
      <c r="M253" s="463">
        <f t="shared" si="85"/>
        <v>26.72</v>
      </c>
      <c r="N253" s="463">
        <f t="shared" si="74"/>
        <v>2.67</v>
      </c>
      <c r="O253" s="463">
        <f t="shared" si="75"/>
        <v>7.03</v>
      </c>
      <c r="P253" s="463">
        <f t="shared" si="76"/>
        <v>79.89</v>
      </c>
      <c r="Q253" s="463">
        <f t="shared" si="77"/>
        <v>116.31</v>
      </c>
      <c r="R253" s="463">
        <f t="shared" si="78"/>
        <v>48.08</v>
      </c>
      <c r="S253" s="463">
        <f t="shared" si="79"/>
        <v>23.03</v>
      </c>
      <c r="T253" s="463">
        <f t="shared" si="86"/>
        <v>151</v>
      </c>
      <c r="U253" s="472"/>
      <c r="V253" s="472"/>
      <c r="W253" s="472"/>
      <c r="X253" s="574">
        <f t="shared" si="80"/>
        <v>116.31</v>
      </c>
      <c r="Y253" s="422" t="b">
        <f t="shared" si="81"/>
        <v>1</v>
      </c>
      <c r="Z253" s="574">
        <f t="shared" si="82"/>
        <v>187.42</v>
      </c>
      <c r="AA253" s="710">
        <f t="shared" si="83"/>
        <v>0.41</v>
      </c>
    </row>
    <row r="254" spans="1:27" ht="18" hidden="1" customHeight="1" outlineLevel="1" x14ac:dyDescent="0.25">
      <c r="A254" s="479" t="s">
        <v>673</v>
      </c>
      <c r="B254" s="422" t="s">
        <v>674</v>
      </c>
      <c r="C254" s="445" t="s">
        <v>45</v>
      </c>
      <c r="D254" s="475" t="s">
        <v>42</v>
      </c>
      <c r="E254" s="475" t="s">
        <v>54</v>
      </c>
      <c r="F254" s="461">
        <f t="shared" si="84"/>
        <v>53.44</v>
      </c>
      <c r="G254" s="461">
        <v>0.91</v>
      </c>
      <c r="H254" s="461"/>
      <c r="I254" s="461"/>
      <c r="J254" s="461"/>
      <c r="K254" s="461"/>
      <c r="L254" s="725"/>
      <c r="M254" s="463">
        <f t="shared" si="85"/>
        <v>48.63</v>
      </c>
      <c r="N254" s="463">
        <f t="shared" si="74"/>
        <v>4.8600000000000003</v>
      </c>
      <c r="O254" s="463">
        <f t="shared" si="75"/>
        <v>12.79</v>
      </c>
      <c r="P254" s="463">
        <f t="shared" si="76"/>
        <v>145.4</v>
      </c>
      <c r="Q254" s="463">
        <f t="shared" si="77"/>
        <v>211.68</v>
      </c>
      <c r="R254" s="463">
        <f t="shared" si="78"/>
        <v>87.48</v>
      </c>
      <c r="S254" s="463">
        <f t="shared" si="79"/>
        <v>41.92</v>
      </c>
      <c r="T254" s="463">
        <f t="shared" si="86"/>
        <v>274.8</v>
      </c>
      <c r="U254" s="472"/>
      <c r="V254" s="472"/>
      <c r="W254" s="472"/>
      <c r="X254" s="574">
        <f t="shared" si="80"/>
        <v>211.68</v>
      </c>
      <c r="Y254" s="422" t="b">
        <f t="shared" si="81"/>
        <v>1</v>
      </c>
      <c r="Z254" s="574">
        <f t="shared" si="82"/>
        <v>341.08</v>
      </c>
      <c r="AA254" s="710">
        <f t="shared" si="83"/>
        <v>0.41</v>
      </c>
    </row>
    <row r="255" spans="1:27" ht="18" hidden="1" customHeight="1" outlineLevel="1" x14ac:dyDescent="0.25">
      <c r="A255" s="479" t="s">
        <v>675</v>
      </c>
      <c r="B255" s="422" t="s">
        <v>676</v>
      </c>
      <c r="C255" s="445" t="s">
        <v>45</v>
      </c>
      <c r="D255" s="475" t="s">
        <v>42</v>
      </c>
      <c r="E255" s="475" t="s">
        <v>54</v>
      </c>
      <c r="F255" s="461">
        <f t="shared" si="84"/>
        <v>53.44</v>
      </c>
      <c r="G255" s="461">
        <v>0.72</v>
      </c>
      <c r="H255" s="461"/>
      <c r="I255" s="461"/>
      <c r="J255" s="461"/>
      <c r="K255" s="461"/>
      <c r="L255" s="725"/>
      <c r="M255" s="463">
        <f t="shared" si="85"/>
        <v>38.479999999999997</v>
      </c>
      <c r="N255" s="463">
        <f t="shared" si="74"/>
        <v>3.85</v>
      </c>
      <c r="O255" s="463">
        <f t="shared" si="75"/>
        <v>10.119999999999999</v>
      </c>
      <c r="P255" s="463">
        <f t="shared" si="76"/>
        <v>115.06</v>
      </c>
      <c r="Q255" s="463">
        <f t="shared" si="77"/>
        <v>167.51</v>
      </c>
      <c r="R255" s="463">
        <f t="shared" si="78"/>
        <v>69.180000000000007</v>
      </c>
      <c r="S255" s="463">
        <f t="shared" si="79"/>
        <v>33.159999999999997</v>
      </c>
      <c r="T255" s="463">
        <f t="shared" si="86"/>
        <v>217.4</v>
      </c>
      <c r="U255" s="472"/>
      <c r="V255" s="472"/>
      <c r="W255" s="472"/>
      <c r="X255" s="574">
        <f t="shared" si="80"/>
        <v>167.51</v>
      </c>
      <c r="Y255" s="422" t="b">
        <f t="shared" si="81"/>
        <v>1</v>
      </c>
      <c r="Z255" s="574">
        <f t="shared" si="82"/>
        <v>269.85000000000002</v>
      </c>
      <c r="AA255" s="710">
        <f t="shared" si="83"/>
        <v>0.41</v>
      </c>
    </row>
    <row r="256" spans="1:27" ht="18" hidden="1" customHeight="1" outlineLevel="1" x14ac:dyDescent="0.25">
      <c r="A256" s="479" t="s">
        <v>677</v>
      </c>
      <c r="B256" s="422" t="s">
        <v>678</v>
      </c>
      <c r="C256" s="445" t="s">
        <v>45</v>
      </c>
      <c r="D256" s="475" t="s">
        <v>42</v>
      </c>
      <c r="E256" s="475" t="s">
        <v>54</v>
      </c>
      <c r="F256" s="461">
        <f t="shared" si="84"/>
        <v>53.44</v>
      </c>
      <c r="G256" s="461">
        <v>0.42</v>
      </c>
      <c r="H256" s="461"/>
      <c r="I256" s="461"/>
      <c r="J256" s="461"/>
      <c r="K256" s="461"/>
      <c r="L256" s="725"/>
      <c r="M256" s="463">
        <f t="shared" si="85"/>
        <v>22.44</v>
      </c>
      <c r="N256" s="463">
        <f t="shared" si="74"/>
        <v>2.2400000000000002</v>
      </c>
      <c r="O256" s="463">
        <f t="shared" si="75"/>
        <v>5.9</v>
      </c>
      <c r="P256" s="463">
        <f t="shared" si="76"/>
        <v>67.099999999999994</v>
      </c>
      <c r="Q256" s="463">
        <f t="shared" si="77"/>
        <v>97.68</v>
      </c>
      <c r="R256" s="463">
        <f t="shared" si="78"/>
        <v>40.36</v>
      </c>
      <c r="S256" s="463">
        <f t="shared" si="79"/>
        <v>19.34</v>
      </c>
      <c r="T256" s="463">
        <f t="shared" si="86"/>
        <v>126.8</v>
      </c>
      <c r="U256" s="472"/>
      <c r="V256" s="472"/>
      <c r="W256" s="472"/>
      <c r="X256" s="574">
        <f t="shared" si="80"/>
        <v>97.68</v>
      </c>
      <c r="Y256" s="422" t="b">
        <f t="shared" si="81"/>
        <v>1</v>
      </c>
      <c r="Z256" s="574">
        <f t="shared" si="82"/>
        <v>157.38</v>
      </c>
      <c r="AA256" s="710">
        <f t="shared" si="83"/>
        <v>0.41</v>
      </c>
    </row>
    <row r="257" spans="1:27" ht="17.25" hidden="1" customHeight="1" outlineLevel="1" x14ac:dyDescent="0.25">
      <c r="A257" s="479" t="s">
        <v>679</v>
      </c>
      <c r="B257" s="422" t="s">
        <v>680</v>
      </c>
      <c r="C257" s="445" t="s">
        <v>436</v>
      </c>
      <c r="D257" s="475" t="s">
        <v>42</v>
      </c>
      <c r="E257" s="475" t="s">
        <v>54</v>
      </c>
      <c r="F257" s="461">
        <f t="shared" si="84"/>
        <v>53.44</v>
      </c>
      <c r="G257" s="461">
        <v>0.5</v>
      </c>
      <c r="H257" s="461"/>
      <c r="I257" s="461"/>
      <c r="J257" s="461"/>
      <c r="K257" s="461"/>
      <c r="L257" s="725"/>
      <c r="M257" s="463">
        <f t="shared" si="85"/>
        <v>26.72</v>
      </c>
      <c r="N257" s="463">
        <f t="shared" si="74"/>
        <v>2.67</v>
      </c>
      <c r="O257" s="463">
        <f t="shared" si="75"/>
        <v>7.03</v>
      </c>
      <c r="P257" s="463">
        <f t="shared" si="76"/>
        <v>79.89</v>
      </c>
      <c r="Q257" s="463">
        <f t="shared" si="77"/>
        <v>116.31</v>
      </c>
      <c r="R257" s="463">
        <f t="shared" si="78"/>
        <v>48.08</v>
      </c>
      <c r="S257" s="463">
        <f t="shared" si="79"/>
        <v>23.03</v>
      </c>
      <c r="T257" s="463">
        <f t="shared" si="86"/>
        <v>151</v>
      </c>
      <c r="U257" s="472"/>
      <c r="V257" s="472"/>
      <c r="W257" s="472"/>
      <c r="X257" s="574">
        <f t="shared" si="80"/>
        <v>116.31</v>
      </c>
      <c r="Y257" s="422" t="b">
        <f t="shared" si="81"/>
        <v>1</v>
      </c>
      <c r="Z257" s="574">
        <f t="shared" si="82"/>
        <v>187.42</v>
      </c>
      <c r="AA257" s="710">
        <f t="shared" si="83"/>
        <v>0.41</v>
      </c>
    </row>
    <row r="258" spans="1:27" ht="17.25" hidden="1" customHeight="1" outlineLevel="1" x14ac:dyDescent="0.25">
      <c r="A258" s="479" t="s">
        <v>681</v>
      </c>
      <c r="B258" s="422" t="s">
        <v>682</v>
      </c>
      <c r="C258" s="445" t="s">
        <v>45</v>
      </c>
      <c r="D258" s="475" t="s">
        <v>42</v>
      </c>
      <c r="E258" s="475" t="s">
        <v>54</v>
      </c>
      <c r="F258" s="461">
        <f t="shared" si="84"/>
        <v>53.44</v>
      </c>
      <c r="G258" s="461">
        <v>2</v>
      </c>
      <c r="H258" s="461"/>
      <c r="I258" s="461"/>
      <c r="J258" s="461"/>
      <c r="K258" s="461"/>
      <c r="L258" s="725"/>
      <c r="M258" s="463">
        <f t="shared" si="85"/>
        <v>106.88</v>
      </c>
      <c r="N258" s="463">
        <f t="shared" si="74"/>
        <v>10.69</v>
      </c>
      <c r="O258" s="463">
        <f t="shared" si="75"/>
        <v>28.11</v>
      </c>
      <c r="P258" s="463">
        <f t="shared" si="76"/>
        <v>319.57</v>
      </c>
      <c r="Q258" s="463">
        <f t="shared" si="77"/>
        <v>465.25</v>
      </c>
      <c r="R258" s="463">
        <f t="shared" si="78"/>
        <v>192.21</v>
      </c>
      <c r="S258" s="463">
        <f t="shared" si="79"/>
        <v>92.12</v>
      </c>
      <c r="T258" s="463">
        <f t="shared" si="86"/>
        <v>603.9</v>
      </c>
      <c r="U258" s="472"/>
      <c r="V258" s="472"/>
      <c r="W258" s="472"/>
      <c r="X258" s="574">
        <f t="shared" si="80"/>
        <v>465.25</v>
      </c>
      <c r="Y258" s="422" t="b">
        <f t="shared" si="81"/>
        <v>1</v>
      </c>
      <c r="Z258" s="574">
        <f t="shared" si="82"/>
        <v>749.58</v>
      </c>
      <c r="AA258" s="710">
        <f t="shared" si="83"/>
        <v>0.41</v>
      </c>
    </row>
    <row r="259" spans="1:27" ht="17.25" hidden="1" customHeight="1" outlineLevel="1" x14ac:dyDescent="0.25">
      <c r="A259" s="479" t="s">
        <v>683</v>
      </c>
      <c r="B259" s="422" t="s">
        <v>684</v>
      </c>
      <c r="C259" s="445" t="s">
        <v>45</v>
      </c>
      <c r="D259" s="475" t="s">
        <v>42</v>
      </c>
      <c r="E259" s="475" t="s">
        <v>54</v>
      </c>
      <c r="F259" s="461">
        <f t="shared" si="84"/>
        <v>53.44</v>
      </c>
      <c r="G259" s="461">
        <v>2</v>
      </c>
      <c r="H259" s="461"/>
      <c r="I259" s="461"/>
      <c r="J259" s="461"/>
      <c r="K259" s="461"/>
      <c r="L259" s="725"/>
      <c r="M259" s="463">
        <f t="shared" si="85"/>
        <v>106.88</v>
      </c>
      <c r="N259" s="463">
        <f t="shared" si="74"/>
        <v>10.69</v>
      </c>
      <c r="O259" s="463">
        <f t="shared" si="75"/>
        <v>28.11</v>
      </c>
      <c r="P259" s="463">
        <f t="shared" si="76"/>
        <v>319.57</v>
      </c>
      <c r="Q259" s="463">
        <f t="shared" si="77"/>
        <v>465.25</v>
      </c>
      <c r="R259" s="463">
        <f t="shared" si="78"/>
        <v>192.21</v>
      </c>
      <c r="S259" s="463">
        <f t="shared" si="79"/>
        <v>92.12</v>
      </c>
      <c r="T259" s="463">
        <f t="shared" si="86"/>
        <v>603.9</v>
      </c>
      <c r="U259" s="472"/>
      <c r="V259" s="472"/>
      <c r="W259" s="472"/>
      <c r="X259" s="574">
        <f t="shared" si="80"/>
        <v>465.25</v>
      </c>
      <c r="Y259" s="422" t="b">
        <f t="shared" si="81"/>
        <v>1</v>
      </c>
      <c r="Z259" s="574">
        <f t="shared" si="82"/>
        <v>749.58</v>
      </c>
      <c r="AA259" s="710">
        <f t="shared" si="83"/>
        <v>0.41</v>
      </c>
    </row>
    <row r="260" spans="1:27" ht="17.25" hidden="1" customHeight="1" outlineLevel="1" x14ac:dyDescent="0.25">
      <c r="A260" s="479" t="s">
        <v>685</v>
      </c>
      <c r="B260" s="422" t="s">
        <v>686</v>
      </c>
      <c r="C260" s="445" t="s">
        <v>45</v>
      </c>
      <c r="D260" s="475" t="s">
        <v>42</v>
      </c>
      <c r="E260" s="475" t="s">
        <v>54</v>
      </c>
      <c r="F260" s="461">
        <f t="shared" si="84"/>
        <v>53.44</v>
      </c>
      <c r="G260" s="461">
        <v>0.35</v>
      </c>
      <c r="H260" s="461"/>
      <c r="I260" s="461"/>
      <c r="J260" s="461"/>
      <c r="K260" s="461"/>
      <c r="L260" s="725"/>
      <c r="M260" s="463">
        <f t="shared" si="85"/>
        <v>18.7</v>
      </c>
      <c r="N260" s="463">
        <f t="shared" si="74"/>
        <v>1.87</v>
      </c>
      <c r="O260" s="463">
        <f t="shared" si="75"/>
        <v>4.92</v>
      </c>
      <c r="P260" s="463">
        <f t="shared" si="76"/>
        <v>55.91</v>
      </c>
      <c r="Q260" s="463">
        <f t="shared" si="77"/>
        <v>81.400000000000006</v>
      </c>
      <c r="R260" s="463">
        <f t="shared" si="78"/>
        <v>33.67</v>
      </c>
      <c r="S260" s="463">
        <f t="shared" si="79"/>
        <v>16.12</v>
      </c>
      <c r="T260" s="463">
        <f t="shared" si="86"/>
        <v>105.7</v>
      </c>
      <c r="U260" s="472"/>
      <c r="V260" s="472"/>
      <c r="W260" s="472"/>
      <c r="X260" s="574">
        <f t="shared" si="80"/>
        <v>81.400000000000006</v>
      </c>
      <c r="Y260" s="422" t="b">
        <f t="shared" si="81"/>
        <v>1</v>
      </c>
      <c r="Z260" s="574">
        <f t="shared" si="82"/>
        <v>131.19</v>
      </c>
      <c r="AA260" s="710">
        <f t="shared" si="83"/>
        <v>0.41</v>
      </c>
    </row>
    <row r="261" spans="1:27" ht="17.25" hidden="1" customHeight="1" outlineLevel="1" x14ac:dyDescent="0.25">
      <c r="A261" s="479" t="s">
        <v>687</v>
      </c>
      <c r="B261" s="422" t="s">
        <v>688</v>
      </c>
      <c r="C261" s="445" t="s">
        <v>45</v>
      </c>
      <c r="D261" s="475" t="s">
        <v>42</v>
      </c>
      <c r="E261" s="475" t="s">
        <v>54</v>
      </c>
      <c r="F261" s="461">
        <f t="shared" si="84"/>
        <v>53.44</v>
      </c>
      <c r="G261" s="461">
        <v>0.65</v>
      </c>
      <c r="H261" s="461"/>
      <c r="I261" s="461"/>
      <c r="J261" s="461"/>
      <c r="K261" s="461"/>
      <c r="L261" s="725"/>
      <c r="M261" s="463">
        <f t="shared" si="85"/>
        <v>34.74</v>
      </c>
      <c r="N261" s="463">
        <f t="shared" si="74"/>
        <v>3.47</v>
      </c>
      <c r="O261" s="463">
        <f t="shared" si="75"/>
        <v>9.14</v>
      </c>
      <c r="P261" s="463">
        <f t="shared" si="76"/>
        <v>103.87</v>
      </c>
      <c r="Q261" s="463">
        <f t="shared" si="77"/>
        <v>151.22</v>
      </c>
      <c r="R261" s="463">
        <f t="shared" si="78"/>
        <v>62.49</v>
      </c>
      <c r="S261" s="463">
        <f t="shared" si="79"/>
        <v>29.94</v>
      </c>
      <c r="T261" s="463">
        <f t="shared" si="86"/>
        <v>196.3</v>
      </c>
      <c r="U261" s="472"/>
      <c r="V261" s="472"/>
      <c r="W261" s="472"/>
      <c r="X261" s="574">
        <f t="shared" si="80"/>
        <v>151.22</v>
      </c>
      <c r="Y261" s="422" t="b">
        <f t="shared" si="81"/>
        <v>1</v>
      </c>
      <c r="Z261" s="574">
        <f t="shared" si="82"/>
        <v>243.65</v>
      </c>
      <c r="AA261" s="710">
        <f t="shared" si="83"/>
        <v>0.41</v>
      </c>
    </row>
    <row r="262" spans="1:27" ht="17.25" hidden="1" customHeight="1" outlineLevel="1" x14ac:dyDescent="0.25">
      <c r="A262" s="479" t="s">
        <v>689</v>
      </c>
      <c r="B262" s="422" t="s">
        <v>690</v>
      </c>
      <c r="C262" s="445" t="s">
        <v>45</v>
      </c>
      <c r="D262" s="475" t="s">
        <v>42</v>
      </c>
      <c r="E262" s="475" t="s">
        <v>54</v>
      </c>
      <c r="F262" s="461">
        <f t="shared" si="84"/>
        <v>53.44</v>
      </c>
      <c r="G262" s="461">
        <v>1</v>
      </c>
      <c r="H262" s="461"/>
      <c r="I262" s="461"/>
      <c r="J262" s="461"/>
      <c r="K262" s="461"/>
      <c r="L262" s="725"/>
      <c r="M262" s="463">
        <f t="shared" si="85"/>
        <v>53.44</v>
      </c>
      <c r="N262" s="463">
        <f t="shared" si="74"/>
        <v>5.34</v>
      </c>
      <c r="O262" s="463">
        <f t="shared" si="75"/>
        <v>14.05</v>
      </c>
      <c r="P262" s="463">
        <f t="shared" si="76"/>
        <v>159.79</v>
      </c>
      <c r="Q262" s="463">
        <f t="shared" si="77"/>
        <v>232.62</v>
      </c>
      <c r="R262" s="463">
        <f t="shared" si="78"/>
        <v>96.06</v>
      </c>
      <c r="S262" s="463">
        <f t="shared" si="79"/>
        <v>46.05</v>
      </c>
      <c r="T262" s="463">
        <f t="shared" si="86"/>
        <v>301.89999999999998</v>
      </c>
      <c r="U262" s="472"/>
      <c r="V262" s="472"/>
      <c r="W262" s="472"/>
      <c r="X262" s="574">
        <f t="shared" si="80"/>
        <v>232.62</v>
      </c>
      <c r="Y262" s="422" t="b">
        <f t="shared" si="81"/>
        <v>1</v>
      </c>
      <c r="Z262" s="574">
        <f t="shared" si="82"/>
        <v>374.73</v>
      </c>
      <c r="AA262" s="710">
        <f t="shared" si="83"/>
        <v>0.41</v>
      </c>
    </row>
    <row r="263" spans="1:27" ht="17.25" hidden="1" customHeight="1" outlineLevel="1" x14ac:dyDescent="0.25">
      <c r="A263" s="479" t="s">
        <v>691</v>
      </c>
      <c r="B263" s="422" t="s">
        <v>692</v>
      </c>
      <c r="C263" s="445" t="s">
        <v>45</v>
      </c>
      <c r="D263" s="475" t="s">
        <v>42</v>
      </c>
      <c r="E263" s="475" t="s">
        <v>54</v>
      </c>
      <c r="F263" s="461">
        <f t="shared" si="84"/>
        <v>53.44</v>
      </c>
      <c r="G263" s="461">
        <v>0.1</v>
      </c>
      <c r="H263" s="461"/>
      <c r="I263" s="461"/>
      <c r="J263" s="461"/>
      <c r="K263" s="461"/>
      <c r="L263" s="725"/>
      <c r="M263" s="463">
        <f t="shared" si="85"/>
        <v>5.34</v>
      </c>
      <c r="N263" s="463">
        <f t="shared" si="74"/>
        <v>0.53</v>
      </c>
      <c r="O263" s="463">
        <f t="shared" si="75"/>
        <v>1.4</v>
      </c>
      <c r="P263" s="463">
        <f t="shared" si="76"/>
        <v>15.97</v>
      </c>
      <c r="Q263" s="463">
        <f t="shared" si="77"/>
        <v>23.24</v>
      </c>
      <c r="R263" s="463">
        <f t="shared" si="78"/>
        <v>9.6199999999999992</v>
      </c>
      <c r="S263" s="463">
        <f t="shared" si="79"/>
        <v>4.6100000000000003</v>
      </c>
      <c r="T263" s="463">
        <f t="shared" si="86"/>
        <v>30.2</v>
      </c>
      <c r="U263" s="472"/>
      <c r="V263" s="472"/>
      <c r="W263" s="472"/>
      <c r="X263" s="574">
        <f t="shared" si="80"/>
        <v>23.24</v>
      </c>
      <c r="Y263" s="422" t="b">
        <f t="shared" si="81"/>
        <v>1</v>
      </c>
      <c r="Z263" s="574">
        <f t="shared" si="82"/>
        <v>37.47</v>
      </c>
      <c r="AA263" s="710">
        <f t="shared" si="83"/>
        <v>0.41</v>
      </c>
    </row>
    <row r="264" spans="1:27" ht="17.25" hidden="1" customHeight="1" outlineLevel="1" x14ac:dyDescent="0.25">
      <c r="A264" s="479" t="s">
        <v>693</v>
      </c>
      <c r="B264" s="422" t="s">
        <v>694</v>
      </c>
      <c r="C264" s="445" t="s">
        <v>45</v>
      </c>
      <c r="D264" s="475" t="s">
        <v>42</v>
      </c>
      <c r="E264" s="475" t="s">
        <v>54</v>
      </c>
      <c r="F264" s="461">
        <f t="shared" si="84"/>
        <v>53.44</v>
      </c>
      <c r="G264" s="461">
        <v>0.66</v>
      </c>
      <c r="H264" s="461"/>
      <c r="I264" s="461"/>
      <c r="J264" s="461"/>
      <c r="K264" s="461"/>
      <c r="L264" s="725"/>
      <c r="M264" s="463">
        <f t="shared" si="85"/>
        <v>35.270000000000003</v>
      </c>
      <c r="N264" s="463">
        <f t="shared" si="74"/>
        <v>3.53</v>
      </c>
      <c r="O264" s="463">
        <f t="shared" si="75"/>
        <v>9.2799999999999994</v>
      </c>
      <c r="P264" s="463">
        <f t="shared" si="76"/>
        <v>105.46</v>
      </c>
      <c r="Q264" s="463">
        <f t="shared" si="77"/>
        <v>153.54</v>
      </c>
      <c r="R264" s="463">
        <f t="shared" si="78"/>
        <v>63.44</v>
      </c>
      <c r="S264" s="463">
        <f t="shared" si="79"/>
        <v>30.4</v>
      </c>
      <c r="T264" s="463">
        <f t="shared" si="86"/>
        <v>199.3</v>
      </c>
      <c r="U264" s="472"/>
      <c r="V264" s="472"/>
      <c r="W264" s="472"/>
      <c r="X264" s="574">
        <f t="shared" si="80"/>
        <v>153.54</v>
      </c>
      <c r="Y264" s="422" t="b">
        <f t="shared" si="81"/>
        <v>1</v>
      </c>
      <c r="Z264" s="574">
        <f t="shared" si="82"/>
        <v>247.38</v>
      </c>
      <c r="AA264" s="710">
        <f t="shared" si="83"/>
        <v>0.41</v>
      </c>
    </row>
    <row r="265" spans="1:27" s="776" customFormat="1" ht="17.25" hidden="1" customHeight="1" outlineLevel="1" x14ac:dyDescent="0.25">
      <c r="A265" s="775"/>
      <c r="B265" s="776" t="s">
        <v>1447</v>
      </c>
      <c r="C265" s="777"/>
      <c r="D265" s="778"/>
      <c r="E265" s="778"/>
      <c r="F265" s="779">
        <f>F264</f>
        <v>53.44</v>
      </c>
      <c r="G265" s="779">
        <f>SUM(G176:G264)/(135-52+1)</f>
        <v>0.67</v>
      </c>
      <c r="H265" s="779"/>
      <c r="I265" s="779"/>
      <c r="J265" s="779"/>
      <c r="K265" s="779"/>
      <c r="L265" s="779"/>
      <c r="M265" s="780">
        <f t="shared" si="85"/>
        <v>35.799999999999997</v>
      </c>
      <c r="N265" s="463">
        <f t="shared" si="74"/>
        <v>3.58</v>
      </c>
      <c r="O265" s="463">
        <f t="shared" si="75"/>
        <v>9.42</v>
      </c>
      <c r="P265" s="463">
        <f t="shared" si="76"/>
        <v>107.04</v>
      </c>
      <c r="Q265" s="463">
        <f t="shared" si="77"/>
        <v>155.84</v>
      </c>
      <c r="R265" s="463">
        <f t="shared" si="78"/>
        <v>64.400000000000006</v>
      </c>
      <c r="S265" s="463">
        <f t="shared" si="79"/>
        <v>30.86</v>
      </c>
      <c r="T265" s="780">
        <f t="shared" si="86"/>
        <v>202.3</v>
      </c>
      <c r="U265" s="472"/>
      <c r="V265" s="472"/>
      <c r="W265" s="472"/>
      <c r="X265" s="574">
        <f t="shared" si="80"/>
        <v>155.84</v>
      </c>
      <c r="Y265" s="422" t="b">
        <f t="shared" si="81"/>
        <v>1</v>
      </c>
      <c r="Z265" s="574">
        <f t="shared" si="82"/>
        <v>251.1</v>
      </c>
      <c r="AA265" s="710">
        <f t="shared" si="83"/>
        <v>0.41</v>
      </c>
    </row>
    <row r="266" spans="1:27" ht="22.5" hidden="1" customHeight="1" outlineLevel="1" x14ac:dyDescent="0.25">
      <c r="A266" s="782" t="s">
        <v>695</v>
      </c>
      <c r="B266" s="424"/>
      <c r="C266" s="445"/>
      <c r="D266" s="475"/>
      <c r="E266" s="475"/>
      <c r="F266" s="461"/>
      <c r="G266" s="461"/>
      <c r="H266" s="461"/>
      <c r="I266" s="461"/>
      <c r="J266" s="461"/>
      <c r="K266" s="461"/>
      <c r="L266" s="725"/>
      <c r="M266" s="463"/>
      <c r="N266" s="463">
        <f t="shared" si="74"/>
        <v>0</v>
      </c>
      <c r="O266" s="463">
        <f t="shared" si="75"/>
        <v>0</v>
      </c>
      <c r="P266" s="463">
        <f t="shared" si="76"/>
        <v>0</v>
      </c>
      <c r="Q266" s="463">
        <f t="shared" si="77"/>
        <v>0</v>
      </c>
      <c r="R266" s="463">
        <f t="shared" si="78"/>
        <v>0</v>
      </c>
      <c r="S266" s="463">
        <f t="shared" si="79"/>
        <v>0</v>
      </c>
      <c r="T266" s="773"/>
      <c r="U266" s="472"/>
      <c r="V266" s="472"/>
      <c r="W266" s="472"/>
      <c r="X266" s="574">
        <f t="shared" si="80"/>
        <v>0</v>
      </c>
      <c r="Y266" s="422" t="b">
        <f t="shared" si="81"/>
        <v>1</v>
      </c>
      <c r="Z266" s="574">
        <f t="shared" si="82"/>
        <v>0</v>
      </c>
      <c r="AA266" s="710" t="e">
        <f t="shared" si="83"/>
        <v>#DIV/0!</v>
      </c>
    </row>
    <row r="267" spans="1:27" ht="15.75" hidden="1" customHeight="1" outlineLevel="1" x14ac:dyDescent="0.25">
      <c r="A267" s="479"/>
      <c r="B267" s="496" t="s">
        <v>696</v>
      </c>
      <c r="C267" s="445"/>
      <c r="D267" s="475"/>
      <c r="E267" s="475"/>
      <c r="F267" s="461"/>
      <c r="G267" s="461"/>
      <c r="H267" s="461"/>
      <c r="I267" s="461"/>
      <c r="J267" s="461"/>
      <c r="K267" s="461"/>
      <c r="L267" s="725"/>
      <c r="M267" s="463"/>
      <c r="N267" s="463">
        <f t="shared" si="74"/>
        <v>0</v>
      </c>
      <c r="O267" s="463">
        <f t="shared" si="75"/>
        <v>0</v>
      </c>
      <c r="P267" s="463">
        <f t="shared" si="76"/>
        <v>0</v>
      </c>
      <c r="Q267" s="463">
        <f t="shared" si="77"/>
        <v>0</v>
      </c>
      <c r="R267" s="463">
        <f t="shared" si="78"/>
        <v>0</v>
      </c>
      <c r="S267" s="463">
        <f t="shared" si="79"/>
        <v>0</v>
      </c>
      <c r="T267" s="463"/>
      <c r="U267" s="472"/>
      <c r="V267" s="472"/>
      <c r="W267" s="472"/>
      <c r="X267" s="574">
        <f t="shared" si="80"/>
        <v>0</v>
      </c>
      <c r="Y267" s="422" t="b">
        <f t="shared" si="81"/>
        <v>1</v>
      </c>
      <c r="Z267" s="574">
        <f t="shared" si="82"/>
        <v>0</v>
      </c>
      <c r="AA267" s="710" t="e">
        <f t="shared" si="83"/>
        <v>#DIV/0!</v>
      </c>
    </row>
    <row r="268" spans="1:27" ht="20.25" hidden="1" customHeight="1" outlineLevel="1" x14ac:dyDescent="0.25">
      <c r="A268" s="479" t="s">
        <v>697</v>
      </c>
      <c r="B268" s="497" t="s">
        <v>698</v>
      </c>
      <c r="C268" s="445"/>
      <c r="D268" s="475"/>
      <c r="E268" s="475"/>
      <c r="F268" s="461"/>
      <c r="G268" s="461"/>
      <c r="H268" s="461"/>
      <c r="I268" s="461"/>
      <c r="J268" s="461"/>
      <c r="K268" s="461"/>
      <c r="L268" s="725"/>
      <c r="M268" s="463"/>
      <c r="N268" s="463">
        <f t="shared" si="74"/>
        <v>0</v>
      </c>
      <c r="O268" s="463">
        <f t="shared" si="75"/>
        <v>0</v>
      </c>
      <c r="P268" s="463">
        <f t="shared" si="76"/>
        <v>0</v>
      </c>
      <c r="Q268" s="463">
        <f t="shared" si="77"/>
        <v>0</v>
      </c>
      <c r="R268" s="463">
        <f t="shared" si="78"/>
        <v>0</v>
      </c>
      <c r="S268" s="463">
        <f t="shared" si="79"/>
        <v>0</v>
      </c>
      <c r="T268" s="773"/>
      <c r="U268" s="472"/>
      <c r="V268" s="472"/>
      <c r="W268" s="472"/>
      <c r="X268" s="574">
        <f t="shared" si="80"/>
        <v>0</v>
      </c>
      <c r="Y268" s="422" t="b">
        <f t="shared" si="81"/>
        <v>1</v>
      </c>
      <c r="Z268" s="574">
        <f t="shared" si="82"/>
        <v>0</v>
      </c>
      <c r="AA268" s="710" t="e">
        <f t="shared" si="83"/>
        <v>#DIV/0!</v>
      </c>
    </row>
    <row r="269" spans="1:27" ht="12.75" hidden="1" customHeight="1" outlineLevel="1" x14ac:dyDescent="0.25">
      <c r="A269" s="479"/>
      <c r="B269" s="422" t="s">
        <v>699</v>
      </c>
      <c r="C269" s="445" t="s">
        <v>317</v>
      </c>
      <c r="D269" s="475" t="s">
        <v>42</v>
      </c>
      <c r="E269" s="475" t="s">
        <v>54</v>
      </c>
      <c r="F269" s="461">
        <f>$F$29</f>
        <v>53.44</v>
      </c>
      <c r="G269" s="461">
        <v>4.2</v>
      </c>
      <c r="H269" s="461"/>
      <c r="I269" s="461"/>
      <c r="J269" s="461"/>
      <c r="K269" s="461"/>
      <c r="L269" s="725"/>
      <c r="M269" s="463">
        <f>F269*G269</f>
        <v>224.45</v>
      </c>
      <c r="N269" s="463">
        <f t="shared" si="74"/>
        <v>22.45</v>
      </c>
      <c r="O269" s="463">
        <f t="shared" si="75"/>
        <v>59.03</v>
      </c>
      <c r="P269" s="463">
        <f t="shared" si="76"/>
        <v>671.11</v>
      </c>
      <c r="Q269" s="463">
        <f t="shared" si="77"/>
        <v>977.04</v>
      </c>
      <c r="R269" s="463">
        <f t="shared" si="78"/>
        <v>403.64</v>
      </c>
      <c r="S269" s="463">
        <f t="shared" si="79"/>
        <v>193.46</v>
      </c>
      <c r="T269" s="463">
        <f>ROUND(Q269*1.298,1)</f>
        <v>1268.2</v>
      </c>
      <c r="U269" s="472"/>
      <c r="V269" s="472"/>
      <c r="W269" s="472"/>
      <c r="X269" s="574">
        <f t="shared" si="80"/>
        <v>977.04</v>
      </c>
      <c r="Y269" s="422" t="b">
        <f t="shared" si="81"/>
        <v>1</v>
      </c>
      <c r="Z269" s="574">
        <f t="shared" si="82"/>
        <v>1574.14</v>
      </c>
      <c r="AA269" s="710">
        <f t="shared" si="83"/>
        <v>0.41</v>
      </c>
    </row>
    <row r="270" spans="1:27" ht="17.25" hidden="1" customHeight="1" outlineLevel="1" x14ac:dyDescent="0.25">
      <c r="A270" s="479" t="s">
        <v>700</v>
      </c>
      <c r="B270" s="422" t="s">
        <v>701</v>
      </c>
      <c r="C270" s="445" t="s">
        <v>45</v>
      </c>
      <c r="D270" s="475" t="s">
        <v>42</v>
      </c>
      <c r="E270" s="475" t="s">
        <v>54</v>
      </c>
      <c r="F270" s="461">
        <f>$F$29</f>
        <v>53.44</v>
      </c>
      <c r="G270" s="461">
        <v>1.08</v>
      </c>
      <c r="H270" s="461"/>
      <c r="I270" s="461"/>
      <c r="J270" s="461"/>
      <c r="K270" s="461"/>
      <c r="L270" s="725"/>
      <c r="M270" s="463">
        <f>F270*G270</f>
        <v>57.72</v>
      </c>
      <c r="N270" s="463">
        <f t="shared" si="74"/>
        <v>5.77</v>
      </c>
      <c r="O270" s="463">
        <f t="shared" si="75"/>
        <v>15.18</v>
      </c>
      <c r="P270" s="463">
        <f t="shared" si="76"/>
        <v>172.58</v>
      </c>
      <c r="Q270" s="463">
        <f t="shared" si="77"/>
        <v>251.25</v>
      </c>
      <c r="R270" s="463">
        <f t="shared" si="78"/>
        <v>103.78</v>
      </c>
      <c r="S270" s="463">
        <f t="shared" si="79"/>
        <v>49.74</v>
      </c>
      <c r="T270" s="463">
        <f>ROUND(Q270*1.298,1)</f>
        <v>326.10000000000002</v>
      </c>
      <c r="U270" s="472"/>
      <c r="V270" s="472"/>
      <c r="W270" s="472"/>
      <c r="X270" s="574">
        <f t="shared" si="80"/>
        <v>251.25</v>
      </c>
      <c r="Y270" s="422" t="b">
        <f t="shared" si="81"/>
        <v>1</v>
      </c>
      <c r="Z270" s="574">
        <f t="shared" si="82"/>
        <v>404.77</v>
      </c>
      <c r="AA270" s="710">
        <f t="shared" si="83"/>
        <v>0.41</v>
      </c>
    </row>
    <row r="271" spans="1:27" ht="17.25" hidden="1" customHeight="1" outlineLevel="1" x14ac:dyDescent="0.25">
      <c r="A271" s="479" t="s">
        <v>702</v>
      </c>
      <c r="B271" s="430" t="s">
        <v>703</v>
      </c>
      <c r="C271" s="445"/>
      <c r="D271" s="475"/>
      <c r="E271" s="475"/>
      <c r="F271" s="461"/>
      <c r="G271" s="461"/>
      <c r="H271" s="461"/>
      <c r="I271" s="461"/>
      <c r="J271" s="461"/>
      <c r="K271" s="461"/>
      <c r="L271" s="725"/>
      <c r="M271" s="463"/>
      <c r="N271" s="463">
        <f t="shared" si="74"/>
        <v>0</v>
      </c>
      <c r="O271" s="463">
        <f t="shared" si="75"/>
        <v>0</v>
      </c>
      <c r="P271" s="463">
        <f t="shared" si="76"/>
        <v>0</v>
      </c>
      <c r="Q271" s="463">
        <f t="shared" si="77"/>
        <v>0</v>
      </c>
      <c r="R271" s="463">
        <f t="shared" si="78"/>
        <v>0</v>
      </c>
      <c r="S271" s="463">
        <f t="shared" si="79"/>
        <v>0</v>
      </c>
      <c r="T271" s="773"/>
      <c r="U271" s="472"/>
      <c r="V271" s="472"/>
      <c r="W271" s="472"/>
      <c r="X271" s="574">
        <f t="shared" si="80"/>
        <v>0</v>
      </c>
      <c r="Y271" s="422" t="b">
        <f t="shared" si="81"/>
        <v>1</v>
      </c>
      <c r="Z271" s="574">
        <f t="shared" si="82"/>
        <v>0</v>
      </c>
      <c r="AA271" s="710" t="e">
        <f t="shared" si="83"/>
        <v>#DIV/0!</v>
      </c>
    </row>
    <row r="272" spans="1:27" ht="17.25" hidden="1" customHeight="1" outlineLevel="1" x14ac:dyDescent="0.25">
      <c r="A272" s="479"/>
      <c r="B272" s="430" t="s">
        <v>704</v>
      </c>
      <c r="C272" s="445" t="s">
        <v>86</v>
      </c>
      <c r="D272" s="475" t="s">
        <v>41</v>
      </c>
      <c r="E272" s="475" t="s">
        <v>42</v>
      </c>
      <c r="F272" s="461">
        <f>$F$16</f>
        <v>41.43</v>
      </c>
      <c r="G272" s="461">
        <v>0.96</v>
      </c>
      <c r="H272" s="461"/>
      <c r="I272" s="461"/>
      <c r="J272" s="461"/>
      <c r="K272" s="461"/>
      <c r="L272" s="725"/>
      <c r="M272" s="463">
        <f t="shared" ref="M272:M277" si="87">F272*G272</f>
        <v>39.770000000000003</v>
      </c>
      <c r="N272" s="463">
        <f t="shared" si="74"/>
        <v>3.98</v>
      </c>
      <c r="O272" s="463">
        <f t="shared" si="75"/>
        <v>10.46</v>
      </c>
      <c r="P272" s="463">
        <f t="shared" si="76"/>
        <v>118.91</v>
      </c>
      <c r="Q272" s="463">
        <f t="shared" si="77"/>
        <v>173.12</v>
      </c>
      <c r="R272" s="463">
        <f t="shared" si="78"/>
        <v>71.510000000000005</v>
      </c>
      <c r="S272" s="463">
        <f t="shared" si="79"/>
        <v>34.28</v>
      </c>
      <c r="T272" s="463">
        <f t="shared" ref="T272:T277" si="88">ROUND(Q272*1.298,1)</f>
        <v>224.7</v>
      </c>
      <c r="U272" s="472"/>
      <c r="V272" s="472"/>
      <c r="W272" s="472"/>
      <c r="X272" s="574">
        <f t="shared" si="80"/>
        <v>173.12</v>
      </c>
      <c r="Y272" s="422" t="b">
        <f t="shared" si="81"/>
        <v>1</v>
      </c>
      <c r="Z272" s="574">
        <f t="shared" si="82"/>
        <v>278.91000000000003</v>
      </c>
      <c r="AA272" s="710">
        <f t="shared" si="83"/>
        <v>0.41</v>
      </c>
    </row>
    <row r="273" spans="1:27" ht="17.25" hidden="1" customHeight="1" outlineLevel="1" x14ac:dyDescent="0.25">
      <c r="A273" s="479" t="s">
        <v>705</v>
      </c>
      <c r="B273" s="422" t="s">
        <v>706</v>
      </c>
      <c r="C273" s="445" t="s">
        <v>45</v>
      </c>
      <c r="D273" s="475" t="s">
        <v>42</v>
      </c>
      <c r="E273" s="475" t="s">
        <v>54</v>
      </c>
      <c r="F273" s="461">
        <f>$F$29</f>
        <v>53.44</v>
      </c>
      <c r="G273" s="461">
        <v>2.8</v>
      </c>
      <c r="H273" s="461"/>
      <c r="I273" s="461"/>
      <c r="J273" s="461"/>
      <c r="K273" s="461"/>
      <c r="L273" s="725"/>
      <c r="M273" s="463">
        <f t="shared" si="87"/>
        <v>149.63</v>
      </c>
      <c r="N273" s="463">
        <f t="shared" si="74"/>
        <v>14.96</v>
      </c>
      <c r="O273" s="463">
        <f t="shared" si="75"/>
        <v>39.35</v>
      </c>
      <c r="P273" s="463">
        <f t="shared" si="76"/>
        <v>447.39</v>
      </c>
      <c r="Q273" s="463">
        <f t="shared" si="77"/>
        <v>651.33000000000004</v>
      </c>
      <c r="R273" s="463">
        <f t="shared" si="78"/>
        <v>269.05</v>
      </c>
      <c r="S273" s="463">
        <f t="shared" si="79"/>
        <v>128.96</v>
      </c>
      <c r="T273" s="463">
        <f t="shared" si="88"/>
        <v>845.4</v>
      </c>
      <c r="U273" s="472"/>
      <c r="V273" s="472"/>
      <c r="W273" s="472"/>
      <c r="X273" s="574">
        <f t="shared" si="80"/>
        <v>651.33000000000004</v>
      </c>
      <c r="Y273" s="422" t="b">
        <f t="shared" si="81"/>
        <v>1</v>
      </c>
      <c r="Z273" s="574">
        <f t="shared" si="82"/>
        <v>1049.3399999999999</v>
      </c>
      <c r="AA273" s="710">
        <f t="shared" si="83"/>
        <v>0.41</v>
      </c>
    </row>
    <row r="274" spans="1:27" ht="17.25" hidden="1" customHeight="1" outlineLevel="1" x14ac:dyDescent="0.25">
      <c r="A274" s="479" t="s">
        <v>707</v>
      </c>
      <c r="B274" s="422" t="s">
        <v>708</v>
      </c>
      <c r="C274" s="445" t="s">
        <v>45</v>
      </c>
      <c r="D274" s="475" t="s">
        <v>42</v>
      </c>
      <c r="E274" s="475" t="s">
        <v>54</v>
      </c>
      <c r="F274" s="461">
        <f>$F$29</f>
        <v>53.44</v>
      </c>
      <c r="G274" s="461">
        <v>2.2599999999999998</v>
      </c>
      <c r="H274" s="461"/>
      <c r="I274" s="461"/>
      <c r="J274" s="461"/>
      <c r="K274" s="461"/>
      <c r="L274" s="725"/>
      <c r="M274" s="463">
        <f t="shared" si="87"/>
        <v>120.77</v>
      </c>
      <c r="N274" s="463">
        <f t="shared" si="74"/>
        <v>12.08</v>
      </c>
      <c r="O274" s="463">
        <f t="shared" si="75"/>
        <v>31.76</v>
      </c>
      <c r="P274" s="463">
        <f t="shared" si="76"/>
        <v>361.1</v>
      </c>
      <c r="Q274" s="463">
        <f t="shared" si="77"/>
        <v>525.71</v>
      </c>
      <c r="R274" s="463">
        <f t="shared" si="78"/>
        <v>217.21</v>
      </c>
      <c r="S274" s="463">
        <f t="shared" si="79"/>
        <v>104.1</v>
      </c>
      <c r="T274" s="463">
        <f t="shared" si="88"/>
        <v>682.4</v>
      </c>
      <c r="U274" s="472"/>
      <c r="V274" s="472"/>
      <c r="W274" s="472"/>
      <c r="X274" s="574">
        <f t="shared" si="80"/>
        <v>525.71</v>
      </c>
      <c r="Y274" s="422" t="b">
        <f t="shared" si="81"/>
        <v>1</v>
      </c>
      <c r="Z274" s="574">
        <f t="shared" si="82"/>
        <v>847.02</v>
      </c>
      <c r="AA274" s="710">
        <f t="shared" si="83"/>
        <v>0.41</v>
      </c>
    </row>
    <row r="275" spans="1:27" ht="17.25" hidden="1" customHeight="1" outlineLevel="1" x14ac:dyDescent="0.25">
      <c r="A275" s="479" t="s">
        <v>709</v>
      </c>
      <c r="B275" s="422" t="s">
        <v>710</v>
      </c>
      <c r="C275" s="445" t="s">
        <v>45</v>
      </c>
      <c r="D275" s="475" t="s">
        <v>42</v>
      </c>
      <c r="E275" s="475" t="s">
        <v>54</v>
      </c>
      <c r="F275" s="461">
        <f>$F$29</f>
        <v>53.44</v>
      </c>
      <c r="G275" s="461">
        <v>1.38</v>
      </c>
      <c r="H275" s="461"/>
      <c r="I275" s="461"/>
      <c r="J275" s="461"/>
      <c r="K275" s="461"/>
      <c r="L275" s="725"/>
      <c r="M275" s="463">
        <f t="shared" si="87"/>
        <v>73.75</v>
      </c>
      <c r="N275" s="463">
        <f t="shared" si="74"/>
        <v>7.38</v>
      </c>
      <c r="O275" s="463">
        <f t="shared" si="75"/>
        <v>19.399999999999999</v>
      </c>
      <c r="P275" s="463">
        <f t="shared" si="76"/>
        <v>220.51</v>
      </c>
      <c r="Q275" s="463">
        <f t="shared" si="77"/>
        <v>321.04000000000002</v>
      </c>
      <c r="R275" s="463">
        <f t="shared" si="78"/>
        <v>132.63</v>
      </c>
      <c r="S275" s="463">
        <f t="shared" si="79"/>
        <v>63.57</v>
      </c>
      <c r="T275" s="463">
        <f t="shared" si="88"/>
        <v>416.7</v>
      </c>
      <c r="U275" s="472"/>
      <c r="V275" s="472"/>
      <c r="W275" s="472"/>
      <c r="X275" s="574">
        <f t="shared" si="80"/>
        <v>321.04000000000002</v>
      </c>
      <c r="Y275" s="422" t="b">
        <f t="shared" si="81"/>
        <v>1</v>
      </c>
      <c r="Z275" s="574">
        <f t="shared" si="82"/>
        <v>517.24</v>
      </c>
      <c r="AA275" s="710">
        <f t="shared" si="83"/>
        <v>0.41</v>
      </c>
    </row>
    <row r="276" spans="1:27" ht="17.25" hidden="1" customHeight="1" outlineLevel="1" x14ac:dyDescent="0.25">
      <c r="A276" s="479" t="s">
        <v>711</v>
      </c>
      <c r="B276" s="422" t="s">
        <v>712</v>
      </c>
      <c r="C276" s="445" t="s">
        <v>73</v>
      </c>
      <c r="D276" s="475" t="s">
        <v>42</v>
      </c>
      <c r="E276" s="475" t="s">
        <v>54</v>
      </c>
      <c r="F276" s="461">
        <f>$F$29</f>
        <v>53.44</v>
      </c>
      <c r="G276" s="461">
        <v>0.77</v>
      </c>
      <c r="H276" s="461"/>
      <c r="I276" s="461"/>
      <c r="J276" s="461"/>
      <c r="K276" s="461"/>
      <c r="L276" s="725"/>
      <c r="M276" s="463">
        <f t="shared" si="87"/>
        <v>41.15</v>
      </c>
      <c r="N276" s="463">
        <f t="shared" si="74"/>
        <v>4.12</v>
      </c>
      <c r="O276" s="463">
        <f t="shared" si="75"/>
        <v>10.82</v>
      </c>
      <c r="P276" s="463">
        <f t="shared" si="76"/>
        <v>123.04</v>
      </c>
      <c r="Q276" s="463">
        <f t="shared" si="77"/>
        <v>179.13</v>
      </c>
      <c r="R276" s="463">
        <f t="shared" si="78"/>
        <v>73.989999999999995</v>
      </c>
      <c r="S276" s="463">
        <f t="shared" si="79"/>
        <v>35.47</v>
      </c>
      <c r="T276" s="463">
        <f t="shared" si="88"/>
        <v>232.5</v>
      </c>
      <c r="U276" s="472"/>
      <c r="V276" s="472"/>
      <c r="W276" s="472"/>
      <c r="X276" s="574">
        <f t="shared" si="80"/>
        <v>179.13</v>
      </c>
      <c r="Y276" s="422" t="b">
        <f t="shared" si="81"/>
        <v>1</v>
      </c>
      <c r="Z276" s="574">
        <f t="shared" si="82"/>
        <v>288.58999999999997</v>
      </c>
      <c r="AA276" s="710">
        <f t="shared" si="83"/>
        <v>0.41</v>
      </c>
    </row>
    <row r="277" spans="1:27" ht="17.25" hidden="1" customHeight="1" outlineLevel="1" x14ac:dyDescent="0.25">
      <c r="A277" s="479" t="s">
        <v>713</v>
      </c>
      <c r="B277" s="422" t="s">
        <v>714</v>
      </c>
      <c r="C277" s="445" t="s">
        <v>45</v>
      </c>
      <c r="D277" s="475" t="s">
        <v>42</v>
      </c>
      <c r="E277" s="475" t="s">
        <v>54</v>
      </c>
      <c r="F277" s="461">
        <f>$F$29</f>
        <v>53.44</v>
      </c>
      <c r="G277" s="461">
        <v>1.04</v>
      </c>
      <c r="H277" s="461"/>
      <c r="I277" s="461"/>
      <c r="J277" s="461"/>
      <c r="K277" s="461"/>
      <c r="L277" s="725"/>
      <c r="M277" s="463">
        <f t="shared" si="87"/>
        <v>55.58</v>
      </c>
      <c r="N277" s="463">
        <f t="shared" si="74"/>
        <v>5.56</v>
      </c>
      <c r="O277" s="463">
        <f t="shared" si="75"/>
        <v>14.62</v>
      </c>
      <c r="P277" s="463">
        <f t="shared" si="76"/>
        <v>166.18</v>
      </c>
      <c r="Q277" s="463">
        <f t="shared" si="77"/>
        <v>241.94</v>
      </c>
      <c r="R277" s="463">
        <f t="shared" si="78"/>
        <v>99.92</v>
      </c>
      <c r="S277" s="463">
        <f t="shared" si="79"/>
        <v>47.9</v>
      </c>
      <c r="T277" s="463">
        <f t="shared" si="88"/>
        <v>314</v>
      </c>
      <c r="U277" s="472"/>
      <c r="V277" s="472"/>
      <c r="W277" s="472"/>
      <c r="X277" s="574">
        <f t="shared" si="80"/>
        <v>241.94</v>
      </c>
      <c r="Y277" s="422" t="b">
        <f t="shared" si="81"/>
        <v>1</v>
      </c>
      <c r="Z277" s="574">
        <f t="shared" si="82"/>
        <v>389.76</v>
      </c>
      <c r="AA277" s="710">
        <f t="shared" si="83"/>
        <v>0.41</v>
      </c>
    </row>
    <row r="278" spans="1:27" ht="17.25" hidden="1" customHeight="1" outlineLevel="1" x14ac:dyDescent="0.25">
      <c r="A278" s="479" t="s">
        <v>715</v>
      </c>
      <c r="B278" s="422" t="s">
        <v>716</v>
      </c>
      <c r="C278" s="445"/>
      <c r="D278" s="475"/>
      <c r="E278" s="475"/>
      <c r="F278" s="461"/>
      <c r="G278" s="461"/>
      <c r="H278" s="461"/>
      <c r="I278" s="461"/>
      <c r="J278" s="461"/>
      <c r="K278" s="461"/>
      <c r="L278" s="725"/>
      <c r="M278" s="463"/>
      <c r="N278" s="463">
        <f t="shared" si="74"/>
        <v>0</v>
      </c>
      <c r="O278" s="463">
        <f t="shared" si="75"/>
        <v>0</v>
      </c>
      <c r="P278" s="463">
        <f t="shared" si="76"/>
        <v>0</v>
      </c>
      <c r="Q278" s="463">
        <f t="shared" si="77"/>
        <v>0</v>
      </c>
      <c r="R278" s="463">
        <f t="shared" si="78"/>
        <v>0</v>
      </c>
      <c r="S278" s="463">
        <f t="shared" si="79"/>
        <v>0</v>
      </c>
      <c r="T278" s="463"/>
      <c r="U278" s="472"/>
      <c r="V278" s="472"/>
      <c r="W278" s="472"/>
      <c r="X278" s="574">
        <f t="shared" si="80"/>
        <v>0</v>
      </c>
      <c r="Y278" s="422" t="b">
        <f t="shared" si="81"/>
        <v>1</v>
      </c>
      <c r="Z278" s="574">
        <f t="shared" si="82"/>
        <v>0</v>
      </c>
      <c r="AA278" s="710" t="e">
        <f t="shared" si="83"/>
        <v>#DIV/0!</v>
      </c>
    </row>
    <row r="279" spans="1:27" ht="12.75" hidden="1" customHeight="1" outlineLevel="1" x14ac:dyDescent="0.25">
      <c r="A279" s="479"/>
      <c r="B279" s="422" t="s">
        <v>717</v>
      </c>
      <c r="C279" s="445" t="s">
        <v>45</v>
      </c>
      <c r="D279" s="475" t="s">
        <v>42</v>
      </c>
      <c r="E279" s="475" t="s">
        <v>54</v>
      </c>
      <c r="F279" s="461">
        <f t="shared" ref="F279:F308" si="89">$F$29</f>
        <v>53.44</v>
      </c>
      <c r="G279" s="461">
        <v>0.96</v>
      </c>
      <c r="H279" s="461"/>
      <c r="I279" s="461"/>
      <c r="J279" s="461"/>
      <c r="K279" s="461"/>
      <c r="L279" s="725"/>
      <c r="M279" s="463">
        <f t="shared" ref="M279:M308" si="90">F279*G279</f>
        <v>51.3</v>
      </c>
      <c r="N279" s="463">
        <f t="shared" si="74"/>
        <v>5.13</v>
      </c>
      <c r="O279" s="463">
        <f t="shared" si="75"/>
        <v>13.49</v>
      </c>
      <c r="P279" s="463">
        <f t="shared" si="76"/>
        <v>153.38999999999999</v>
      </c>
      <c r="Q279" s="463">
        <f t="shared" si="77"/>
        <v>223.31</v>
      </c>
      <c r="R279" s="463">
        <f t="shared" si="78"/>
        <v>92.29</v>
      </c>
      <c r="S279" s="463">
        <f t="shared" si="79"/>
        <v>44.22</v>
      </c>
      <c r="T279" s="463">
        <f t="shared" ref="T279:T308" si="91">ROUND(Q279*1.298,1)</f>
        <v>289.89999999999998</v>
      </c>
      <c r="U279" s="472"/>
      <c r="V279" s="472"/>
      <c r="W279" s="472"/>
      <c r="X279" s="574">
        <f t="shared" si="80"/>
        <v>223.31</v>
      </c>
      <c r="Y279" s="422" t="b">
        <f t="shared" si="81"/>
        <v>1</v>
      </c>
      <c r="Z279" s="574">
        <f t="shared" si="82"/>
        <v>359.82</v>
      </c>
      <c r="AA279" s="710">
        <f t="shared" si="83"/>
        <v>0.41</v>
      </c>
    </row>
    <row r="280" spans="1:27" ht="17.25" hidden="1" customHeight="1" outlineLevel="1" x14ac:dyDescent="0.25">
      <c r="A280" s="479" t="s">
        <v>718</v>
      </c>
      <c r="B280" s="422" t="s">
        <v>719</v>
      </c>
      <c r="C280" s="445" t="s">
        <v>45</v>
      </c>
      <c r="D280" s="475" t="s">
        <v>42</v>
      </c>
      <c r="E280" s="475" t="s">
        <v>54</v>
      </c>
      <c r="F280" s="461">
        <f t="shared" si="89"/>
        <v>53.44</v>
      </c>
      <c r="G280" s="461">
        <v>1.68</v>
      </c>
      <c r="H280" s="461"/>
      <c r="I280" s="461"/>
      <c r="J280" s="461"/>
      <c r="K280" s="461"/>
      <c r="L280" s="725"/>
      <c r="M280" s="463">
        <f t="shared" si="90"/>
        <v>89.78</v>
      </c>
      <c r="N280" s="463">
        <f t="shared" si="74"/>
        <v>8.98</v>
      </c>
      <c r="O280" s="463">
        <f t="shared" si="75"/>
        <v>23.61</v>
      </c>
      <c r="P280" s="463">
        <f t="shared" si="76"/>
        <v>268.44</v>
      </c>
      <c r="Q280" s="463">
        <f t="shared" si="77"/>
        <v>390.81</v>
      </c>
      <c r="R280" s="463">
        <f t="shared" si="78"/>
        <v>161.47999999999999</v>
      </c>
      <c r="S280" s="463">
        <f t="shared" si="79"/>
        <v>77.39</v>
      </c>
      <c r="T280" s="463">
        <f t="shared" si="91"/>
        <v>507.3</v>
      </c>
      <c r="U280" s="472"/>
      <c r="V280" s="472"/>
      <c r="W280" s="472"/>
      <c r="X280" s="574">
        <f t="shared" si="80"/>
        <v>390.81</v>
      </c>
      <c r="Y280" s="422" t="b">
        <f t="shared" si="81"/>
        <v>1</v>
      </c>
      <c r="Z280" s="574">
        <f t="shared" si="82"/>
        <v>629.67999999999995</v>
      </c>
      <c r="AA280" s="710">
        <f t="shared" si="83"/>
        <v>0.41</v>
      </c>
    </row>
    <row r="281" spans="1:27" ht="17.25" hidden="1" customHeight="1" outlineLevel="1" x14ac:dyDescent="0.25">
      <c r="A281" s="479" t="s">
        <v>720</v>
      </c>
      <c r="B281" s="422" t="s">
        <v>721</v>
      </c>
      <c r="C281" s="445" t="s">
        <v>624</v>
      </c>
      <c r="D281" s="475" t="s">
        <v>42</v>
      </c>
      <c r="E281" s="475" t="s">
        <v>54</v>
      </c>
      <c r="F281" s="461">
        <f t="shared" si="89"/>
        <v>53.44</v>
      </c>
      <c r="G281" s="461">
        <v>0.34</v>
      </c>
      <c r="H281" s="461"/>
      <c r="I281" s="461"/>
      <c r="J281" s="461"/>
      <c r="K281" s="461"/>
      <c r="L281" s="725"/>
      <c r="M281" s="463">
        <f t="shared" si="90"/>
        <v>18.170000000000002</v>
      </c>
      <c r="N281" s="463">
        <f t="shared" si="74"/>
        <v>1.82</v>
      </c>
      <c r="O281" s="463">
        <f t="shared" si="75"/>
        <v>4.78</v>
      </c>
      <c r="P281" s="463">
        <f t="shared" si="76"/>
        <v>54.33</v>
      </c>
      <c r="Q281" s="463">
        <f t="shared" si="77"/>
        <v>79.099999999999994</v>
      </c>
      <c r="R281" s="463">
        <f t="shared" si="78"/>
        <v>32.700000000000003</v>
      </c>
      <c r="S281" s="463">
        <f t="shared" si="79"/>
        <v>15.67</v>
      </c>
      <c r="T281" s="463">
        <f t="shared" si="91"/>
        <v>102.7</v>
      </c>
      <c r="U281" s="472"/>
      <c r="V281" s="472"/>
      <c r="W281" s="472"/>
      <c r="X281" s="574">
        <f t="shared" si="80"/>
        <v>79.099999999999994</v>
      </c>
      <c r="Y281" s="422" t="b">
        <f t="shared" si="81"/>
        <v>1</v>
      </c>
      <c r="Z281" s="574">
        <f t="shared" si="82"/>
        <v>127.47</v>
      </c>
      <c r="AA281" s="710">
        <f t="shared" si="83"/>
        <v>0.41</v>
      </c>
    </row>
    <row r="282" spans="1:27" ht="17.25" hidden="1" customHeight="1" outlineLevel="1" x14ac:dyDescent="0.25">
      <c r="A282" s="479" t="s">
        <v>722</v>
      </c>
      <c r="B282" s="422" t="s">
        <v>723</v>
      </c>
      <c r="C282" s="445" t="s">
        <v>45</v>
      </c>
      <c r="D282" s="475" t="s">
        <v>42</v>
      </c>
      <c r="E282" s="475" t="s">
        <v>54</v>
      </c>
      <c r="F282" s="461">
        <f t="shared" si="89"/>
        <v>53.44</v>
      </c>
      <c r="G282" s="461">
        <v>0.64</v>
      </c>
      <c r="H282" s="461"/>
      <c r="I282" s="461"/>
      <c r="J282" s="461"/>
      <c r="K282" s="461"/>
      <c r="L282" s="725"/>
      <c r="M282" s="463">
        <f t="shared" si="90"/>
        <v>34.200000000000003</v>
      </c>
      <c r="N282" s="463">
        <f t="shared" si="74"/>
        <v>3.42</v>
      </c>
      <c r="O282" s="463">
        <f t="shared" si="75"/>
        <v>8.99</v>
      </c>
      <c r="P282" s="463">
        <f t="shared" si="76"/>
        <v>102.26</v>
      </c>
      <c r="Q282" s="463">
        <f t="shared" si="77"/>
        <v>148.87</v>
      </c>
      <c r="R282" s="463">
        <f t="shared" si="78"/>
        <v>61.47</v>
      </c>
      <c r="S282" s="463">
        <f t="shared" si="79"/>
        <v>29.47</v>
      </c>
      <c r="T282" s="463">
        <f t="shared" si="91"/>
        <v>193.2</v>
      </c>
      <c r="U282" s="472"/>
      <c r="V282" s="472"/>
      <c r="W282" s="472"/>
      <c r="X282" s="574">
        <f t="shared" si="80"/>
        <v>148.87</v>
      </c>
      <c r="Y282" s="422" t="b">
        <f t="shared" si="81"/>
        <v>1</v>
      </c>
      <c r="Z282" s="574">
        <f t="shared" si="82"/>
        <v>239.81</v>
      </c>
      <c r="AA282" s="710">
        <f t="shared" si="83"/>
        <v>0.41</v>
      </c>
    </row>
    <row r="283" spans="1:27" ht="17.25" hidden="1" customHeight="1" outlineLevel="1" x14ac:dyDescent="0.25">
      <c r="A283" s="479" t="s">
        <v>724</v>
      </c>
      <c r="B283" s="422" t="s">
        <v>725</v>
      </c>
      <c r="C283" s="445" t="s">
        <v>45</v>
      </c>
      <c r="D283" s="475" t="s">
        <v>42</v>
      </c>
      <c r="E283" s="475" t="s">
        <v>54</v>
      </c>
      <c r="F283" s="461">
        <f t="shared" si="89"/>
        <v>53.44</v>
      </c>
      <c r="G283" s="461">
        <v>0.78</v>
      </c>
      <c r="H283" s="461"/>
      <c r="I283" s="461"/>
      <c r="J283" s="461"/>
      <c r="K283" s="461"/>
      <c r="L283" s="725"/>
      <c r="M283" s="463">
        <f t="shared" si="90"/>
        <v>41.68</v>
      </c>
      <c r="N283" s="463">
        <f t="shared" si="74"/>
        <v>4.17</v>
      </c>
      <c r="O283" s="463">
        <f t="shared" si="75"/>
        <v>10.96</v>
      </c>
      <c r="P283" s="463">
        <f t="shared" si="76"/>
        <v>124.62</v>
      </c>
      <c r="Q283" s="463">
        <f t="shared" si="77"/>
        <v>181.43</v>
      </c>
      <c r="R283" s="463">
        <f t="shared" si="78"/>
        <v>74.959999999999994</v>
      </c>
      <c r="S283" s="463">
        <f t="shared" si="79"/>
        <v>35.92</v>
      </c>
      <c r="T283" s="463">
        <f t="shared" si="91"/>
        <v>235.5</v>
      </c>
      <c r="U283" s="472"/>
      <c r="V283" s="472"/>
      <c r="W283" s="472"/>
      <c r="X283" s="574">
        <f t="shared" si="80"/>
        <v>181.43</v>
      </c>
      <c r="Y283" s="422" t="b">
        <f t="shared" si="81"/>
        <v>1</v>
      </c>
      <c r="Z283" s="574">
        <f t="shared" si="82"/>
        <v>292.31</v>
      </c>
      <c r="AA283" s="710">
        <f t="shared" si="83"/>
        <v>0.41</v>
      </c>
    </row>
    <row r="284" spans="1:27" ht="17.25" hidden="1" customHeight="1" outlineLevel="1" x14ac:dyDescent="0.25">
      <c r="A284" s="479" t="s">
        <v>726</v>
      </c>
      <c r="B284" s="422" t="s">
        <v>727</v>
      </c>
      <c r="C284" s="445" t="s">
        <v>562</v>
      </c>
      <c r="D284" s="475" t="s">
        <v>42</v>
      </c>
      <c r="E284" s="475" t="s">
        <v>54</v>
      </c>
      <c r="F284" s="461">
        <f t="shared" si="89"/>
        <v>53.44</v>
      </c>
      <c r="G284" s="461">
        <v>0.6</v>
      </c>
      <c r="H284" s="461"/>
      <c r="I284" s="461"/>
      <c r="J284" s="461"/>
      <c r="K284" s="461"/>
      <c r="L284" s="725"/>
      <c r="M284" s="463">
        <f t="shared" si="90"/>
        <v>32.06</v>
      </c>
      <c r="N284" s="463">
        <f t="shared" si="74"/>
        <v>3.21</v>
      </c>
      <c r="O284" s="463">
        <f t="shared" si="75"/>
        <v>8.43</v>
      </c>
      <c r="P284" s="463">
        <f t="shared" si="76"/>
        <v>95.86</v>
      </c>
      <c r="Q284" s="463">
        <f t="shared" si="77"/>
        <v>139.56</v>
      </c>
      <c r="R284" s="463">
        <f t="shared" si="78"/>
        <v>57.61</v>
      </c>
      <c r="S284" s="463">
        <f t="shared" si="79"/>
        <v>27.62</v>
      </c>
      <c r="T284" s="463">
        <f t="shared" si="91"/>
        <v>181.1</v>
      </c>
      <c r="U284" s="472"/>
      <c r="V284" s="472"/>
      <c r="W284" s="472"/>
      <c r="X284" s="574">
        <f t="shared" si="80"/>
        <v>139.56</v>
      </c>
      <c r="Y284" s="422" t="b">
        <f t="shared" si="81"/>
        <v>1</v>
      </c>
      <c r="Z284" s="574">
        <f t="shared" si="82"/>
        <v>224.79</v>
      </c>
      <c r="AA284" s="710">
        <f t="shared" si="83"/>
        <v>0.41</v>
      </c>
    </row>
    <row r="285" spans="1:27" ht="18" hidden="1" customHeight="1" outlineLevel="1" x14ac:dyDescent="0.25">
      <c r="A285" s="479" t="s">
        <v>728</v>
      </c>
      <c r="B285" s="422" t="s">
        <v>729</v>
      </c>
      <c r="C285" s="445" t="s">
        <v>562</v>
      </c>
      <c r="D285" s="475" t="s">
        <v>42</v>
      </c>
      <c r="E285" s="475" t="s">
        <v>54</v>
      </c>
      <c r="F285" s="461">
        <f t="shared" si="89"/>
        <v>53.44</v>
      </c>
      <c r="G285" s="461">
        <v>0.5</v>
      </c>
      <c r="H285" s="461"/>
      <c r="I285" s="461"/>
      <c r="J285" s="461"/>
      <c r="K285" s="461"/>
      <c r="L285" s="725"/>
      <c r="M285" s="463">
        <f t="shared" si="90"/>
        <v>26.72</v>
      </c>
      <c r="N285" s="463">
        <f t="shared" si="74"/>
        <v>2.67</v>
      </c>
      <c r="O285" s="463">
        <f t="shared" si="75"/>
        <v>7.03</v>
      </c>
      <c r="P285" s="463">
        <f t="shared" si="76"/>
        <v>79.89</v>
      </c>
      <c r="Q285" s="463">
        <f t="shared" si="77"/>
        <v>116.31</v>
      </c>
      <c r="R285" s="463">
        <f t="shared" si="78"/>
        <v>48.08</v>
      </c>
      <c r="S285" s="463">
        <f t="shared" si="79"/>
        <v>23.03</v>
      </c>
      <c r="T285" s="463">
        <f t="shared" si="91"/>
        <v>151</v>
      </c>
      <c r="U285" s="472"/>
      <c r="V285" s="472"/>
      <c r="W285" s="472"/>
      <c r="X285" s="574">
        <f t="shared" si="80"/>
        <v>116.31</v>
      </c>
      <c r="Y285" s="422" t="b">
        <f t="shared" si="81"/>
        <v>1</v>
      </c>
      <c r="Z285" s="574">
        <f t="shared" si="82"/>
        <v>187.42</v>
      </c>
      <c r="AA285" s="710">
        <f t="shared" si="83"/>
        <v>0.41</v>
      </c>
    </row>
    <row r="286" spans="1:27" ht="18" hidden="1" customHeight="1" outlineLevel="1" x14ac:dyDescent="0.25">
      <c r="A286" s="479" t="s">
        <v>730</v>
      </c>
      <c r="B286" s="422" t="s">
        <v>731</v>
      </c>
      <c r="C286" s="445" t="s">
        <v>403</v>
      </c>
      <c r="D286" s="475" t="s">
        <v>42</v>
      </c>
      <c r="E286" s="475" t="s">
        <v>54</v>
      </c>
      <c r="F286" s="461">
        <f t="shared" si="89"/>
        <v>53.44</v>
      </c>
      <c r="G286" s="461">
        <v>0.34</v>
      </c>
      <c r="H286" s="461"/>
      <c r="I286" s="461"/>
      <c r="J286" s="461"/>
      <c r="K286" s="461"/>
      <c r="L286" s="725"/>
      <c r="M286" s="463">
        <f t="shared" si="90"/>
        <v>18.170000000000002</v>
      </c>
      <c r="N286" s="463">
        <f t="shared" si="74"/>
        <v>1.82</v>
      </c>
      <c r="O286" s="463">
        <f t="shared" si="75"/>
        <v>4.78</v>
      </c>
      <c r="P286" s="463">
        <f t="shared" si="76"/>
        <v>54.33</v>
      </c>
      <c r="Q286" s="463">
        <f t="shared" si="77"/>
        <v>79.099999999999994</v>
      </c>
      <c r="R286" s="463">
        <f t="shared" si="78"/>
        <v>32.700000000000003</v>
      </c>
      <c r="S286" s="463">
        <f t="shared" si="79"/>
        <v>15.67</v>
      </c>
      <c r="T286" s="463">
        <f t="shared" si="91"/>
        <v>102.7</v>
      </c>
      <c r="U286" s="472"/>
      <c r="V286" s="472"/>
      <c r="W286" s="472"/>
      <c r="X286" s="574">
        <f t="shared" si="80"/>
        <v>79.099999999999994</v>
      </c>
      <c r="Y286" s="422" t="b">
        <f t="shared" si="81"/>
        <v>1</v>
      </c>
      <c r="Z286" s="574">
        <f t="shared" si="82"/>
        <v>127.47</v>
      </c>
      <c r="AA286" s="710">
        <f t="shared" si="83"/>
        <v>0.41</v>
      </c>
    </row>
    <row r="287" spans="1:27" ht="18" hidden="1" customHeight="1" outlineLevel="1" x14ac:dyDescent="0.25">
      <c r="A287" s="479" t="s">
        <v>732</v>
      </c>
      <c r="B287" s="497" t="s">
        <v>733</v>
      </c>
      <c r="C287" s="445" t="s">
        <v>734</v>
      </c>
      <c r="D287" s="475" t="s">
        <v>42</v>
      </c>
      <c r="E287" s="475" t="s">
        <v>54</v>
      </c>
      <c r="F287" s="461">
        <f t="shared" si="89"/>
        <v>53.44</v>
      </c>
      <c r="G287" s="461">
        <v>2.5</v>
      </c>
      <c r="H287" s="461"/>
      <c r="I287" s="461"/>
      <c r="J287" s="461"/>
      <c r="K287" s="461"/>
      <c r="L287" s="725"/>
      <c r="M287" s="463">
        <f t="shared" si="90"/>
        <v>133.6</v>
      </c>
      <c r="N287" s="463">
        <f t="shared" si="74"/>
        <v>13.36</v>
      </c>
      <c r="O287" s="463">
        <f t="shared" si="75"/>
        <v>35.14</v>
      </c>
      <c r="P287" s="463">
        <f t="shared" si="76"/>
        <v>399.46</v>
      </c>
      <c r="Q287" s="463">
        <f t="shared" si="77"/>
        <v>581.55999999999995</v>
      </c>
      <c r="R287" s="463">
        <f t="shared" si="78"/>
        <v>240.29</v>
      </c>
      <c r="S287" s="463">
        <f t="shared" si="79"/>
        <v>115.16</v>
      </c>
      <c r="T287" s="463">
        <f t="shared" si="91"/>
        <v>754.9</v>
      </c>
      <c r="U287" s="472"/>
      <c r="V287" s="472"/>
      <c r="W287" s="472"/>
      <c r="X287" s="574">
        <f t="shared" si="80"/>
        <v>581.55999999999995</v>
      </c>
      <c r="Y287" s="422" t="b">
        <f t="shared" si="81"/>
        <v>1</v>
      </c>
      <c r="Z287" s="574">
        <f t="shared" si="82"/>
        <v>937.01</v>
      </c>
      <c r="AA287" s="710">
        <f t="shared" si="83"/>
        <v>0.41</v>
      </c>
    </row>
    <row r="288" spans="1:27" ht="18" hidden="1" customHeight="1" outlineLevel="1" x14ac:dyDescent="0.25">
      <c r="A288" s="479" t="s">
        <v>735</v>
      </c>
      <c r="B288" s="422" t="s">
        <v>736</v>
      </c>
      <c r="C288" s="445" t="s">
        <v>479</v>
      </c>
      <c r="D288" s="475" t="s">
        <v>42</v>
      </c>
      <c r="E288" s="475" t="s">
        <v>54</v>
      </c>
      <c r="F288" s="461">
        <f t="shared" si="89"/>
        <v>53.44</v>
      </c>
      <c r="G288" s="461">
        <v>1.04</v>
      </c>
      <c r="H288" s="461"/>
      <c r="I288" s="461"/>
      <c r="J288" s="461"/>
      <c r="K288" s="461"/>
      <c r="L288" s="725"/>
      <c r="M288" s="463">
        <f t="shared" si="90"/>
        <v>55.58</v>
      </c>
      <c r="N288" s="463">
        <f t="shared" si="74"/>
        <v>5.56</v>
      </c>
      <c r="O288" s="463">
        <f t="shared" si="75"/>
        <v>14.62</v>
      </c>
      <c r="P288" s="463">
        <f t="shared" si="76"/>
        <v>166.18</v>
      </c>
      <c r="Q288" s="463">
        <f t="shared" si="77"/>
        <v>241.94</v>
      </c>
      <c r="R288" s="463">
        <f t="shared" si="78"/>
        <v>99.92</v>
      </c>
      <c r="S288" s="463">
        <f t="shared" si="79"/>
        <v>47.9</v>
      </c>
      <c r="T288" s="463">
        <f t="shared" si="91"/>
        <v>314</v>
      </c>
      <c r="U288" s="472"/>
      <c r="V288" s="472"/>
      <c r="W288" s="472"/>
      <c r="X288" s="574">
        <f t="shared" si="80"/>
        <v>241.94</v>
      </c>
      <c r="Y288" s="422" t="b">
        <f t="shared" si="81"/>
        <v>1</v>
      </c>
      <c r="Z288" s="574">
        <f t="shared" si="82"/>
        <v>389.76</v>
      </c>
      <c r="AA288" s="710">
        <f t="shared" si="83"/>
        <v>0.41</v>
      </c>
    </row>
    <row r="289" spans="1:27" ht="18" hidden="1" customHeight="1" outlineLevel="1" x14ac:dyDescent="0.25">
      <c r="A289" s="774" t="s">
        <v>737</v>
      </c>
      <c r="B289" s="422" t="s">
        <v>738</v>
      </c>
      <c r="C289" s="445" t="s">
        <v>45</v>
      </c>
      <c r="D289" s="475" t="s">
        <v>42</v>
      </c>
      <c r="E289" s="475" t="s">
        <v>54</v>
      </c>
      <c r="F289" s="461">
        <f t="shared" si="89"/>
        <v>53.44</v>
      </c>
      <c r="G289" s="461">
        <v>1.18</v>
      </c>
      <c r="H289" s="461"/>
      <c r="I289" s="461"/>
      <c r="J289" s="461"/>
      <c r="K289" s="461"/>
      <c r="L289" s="725"/>
      <c r="M289" s="463">
        <f t="shared" si="90"/>
        <v>63.06</v>
      </c>
      <c r="N289" s="463">
        <f t="shared" si="74"/>
        <v>6.31</v>
      </c>
      <c r="O289" s="463">
        <f t="shared" si="75"/>
        <v>16.579999999999998</v>
      </c>
      <c r="P289" s="463">
        <f t="shared" si="76"/>
        <v>188.55</v>
      </c>
      <c r="Q289" s="463">
        <f t="shared" si="77"/>
        <v>274.5</v>
      </c>
      <c r="R289" s="463">
        <f t="shared" si="78"/>
        <v>113.4</v>
      </c>
      <c r="S289" s="463">
        <f t="shared" si="79"/>
        <v>54.35</v>
      </c>
      <c r="T289" s="463">
        <f t="shared" si="91"/>
        <v>356.3</v>
      </c>
      <c r="U289" s="472"/>
      <c r="V289" s="472"/>
      <c r="W289" s="472"/>
      <c r="X289" s="574">
        <f t="shared" si="80"/>
        <v>274.5</v>
      </c>
      <c r="Y289" s="422" t="b">
        <f t="shared" si="81"/>
        <v>1</v>
      </c>
      <c r="Z289" s="574">
        <f t="shared" si="82"/>
        <v>442.25</v>
      </c>
      <c r="AA289" s="710">
        <f t="shared" si="83"/>
        <v>0.41</v>
      </c>
    </row>
    <row r="290" spans="1:27" ht="18" hidden="1" customHeight="1" outlineLevel="1" x14ac:dyDescent="0.25">
      <c r="A290" s="774" t="s">
        <v>739</v>
      </c>
      <c r="B290" s="423" t="s">
        <v>740</v>
      </c>
      <c r="C290" s="445" t="s">
        <v>45</v>
      </c>
      <c r="D290" s="475" t="s">
        <v>42</v>
      </c>
      <c r="E290" s="475" t="s">
        <v>54</v>
      </c>
      <c r="F290" s="461">
        <f t="shared" si="89"/>
        <v>53.44</v>
      </c>
      <c r="G290" s="461">
        <v>1.02</v>
      </c>
      <c r="H290" s="461"/>
      <c r="I290" s="461"/>
      <c r="J290" s="461"/>
      <c r="K290" s="461"/>
      <c r="L290" s="725"/>
      <c r="M290" s="463">
        <f t="shared" si="90"/>
        <v>54.51</v>
      </c>
      <c r="N290" s="463">
        <f t="shared" si="74"/>
        <v>5.45</v>
      </c>
      <c r="O290" s="463">
        <f t="shared" si="75"/>
        <v>14.34</v>
      </c>
      <c r="P290" s="463">
        <f t="shared" si="76"/>
        <v>162.97999999999999</v>
      </c>
      <c r="Q290" s="463">
        <f t="shared" si="77"/>
        <v>237.28</v>
      </c>
      <c r="R290" s="463">
        <f t="shared" si="78"/>
        <v>98.04</v>
      </c>
      <c r="S290" s="463">
        <f t="shared" si="79"/>
        <v>46.98</v>
      </c>
      <c r="T290" s="463">
        <f t="shared" si="91"/>
        <v>308</v>
      </c>
      <c r="U290" s="472"/>
      <c r="V290" s="472"/>
      <c r="W290" s="472"/>
      <c r="X290" s="574">
        <f t="shared" si="80"/>
        <v>237.28</v>
      </c>
      <c r="Y290" s="422" t="b">
        <f t="shared" si="81"/>
        <v>1</v>
      </c>
      <c r="Z290" s="574">
        <f t="shared" si="82"/>
        <v>382.3</v>
      </c>
      <c r="AA290" s="710">
        <f t="shared" si="83"/>
        <v>0.41</v>
      </c>
    </row>
    <row r="291" spans="1:27" ht="18" hidden="1" customHeight="1" outlineLevel="1" x14ac:dyDescent="0.25">
      <c r="A291" s="774" t="s">
        <v>741</v>
      </c>
      <c r="B291" s="423" t="s">
        <v>742</v>
      </c>
      <c r="C291" s="445" t="s">
        <v>424</v>
      </c>
      <c r="D291" s="475" t="s">
        <v>42</v>
      </c>
      <c r="E291" s="475" t="s">
        <v>54</v>
      </c>
      <c r="F291" s="461">
        <f t="shared" si="89"/>
        <v>53.44</v>
      </c>
      <c r="G291" s="461">
        <v>0.68</v>
      </c>
      <c r="H291" s="461"/>
      <c r="I291" s="461"/>
      <c r="J291" s="461"/>
      <c r="K291" s="461"/>
      <c r="L291" s="725"/>
      <c r="M291" s="463">
        <f t="shared" si="90"/>
        <v>36.340000000000003</v>
      </c>
      <c r="N291" s="463">
        <f t="shared" si="74"/>
        <v>3.63</v>
      </c>
      <c r="O291" s="463">
        <f t="shared" si="75"/>
        <v>9.56</v>
      </c>
      <c r="P291" s="463">
        <f t="shared" si="76"/>
        <v>108.66</v>
      </c>
      <c r="Q291" s="463">
        <f t="shared" si="77"/>
        <v>158.19</v>
      </c>
      <c r="R291" s="463">
        <f t="shared" si="78"/>
        <v>65.319999999999993</v>
      </c>
      <c r="S291" s="463">
        <f t="shared" si="79"/>
        <v>31.32</v>
      </c>
      <c r="T291" s="463">
        <f t="shared" si="91"/>
        <v>205.3</v>
      </c>
      <c r="U291" s="472"/>
      <c r="V291" s="472"/>
      <c r="W291" s="472"/>
      <c r="X291" s="574">
        <f t="shared" si="80"/>
        <v>158.19</v>
      </c>
      <c r="Y291" s="422" t="b">
        <f t="shared" si="81"/>
        <v>1</v>
      </c>
      <c r="Z291" s="574">
        <f t="shared" si="82"/>
        <v>254.83</v>
      </c>
      <c r="AA291" s="710">
        <f t="shared" si="83"/>
        <v>0.41</v>
      </c>
    </row>
    <row r="292" spans="1:27" ht="18" hidden="1" customHeight="1" outlineLevel="1" x14ac:dyDescent="0.25">
      <c r="A292" s="774" t="s">
        <v>743</v>
      </c>
      <c r="B292" s="423" t="s">
        <v>744</v>
      </c>
      <c r="C292" s="445" t="s">
        <v>45</v>
      </c>
      <c r="D292" s="475" t="s">
        <v>42</v>
      </c>
      <c r="E292" s="475" t="s">
        <v>54</v>
      </c>
      <c r="F292" s="461">
        <f t="shared" si="89"/>
        <v>53.44</v>
      </c>
      <c r="G292" s="461">
        <v>0.54</v>
      </c>
      <c r="H292" s="461"/>
      <c r="I292" s="461"/>
      <c r="J292" s="461"/>
      <c r="K292" s="461"/>
      <c r="L292" s="725"/>
      <c r="M292" s="463">
        <f t="shared" si="90"/>
        <v>28.86</v>
      </c>
      <c r="N292" s="463">
        <f t="shared" si="74"/>
        <v>2.89</v>
      </c>
      <c r="O292" s="463">
        <f t="shared" si="75"/>
        <v>7.59</v>
      </c>
      <c r="P292" s="463">
        <f t="shared" si="76"/>
        <v>86.29</v>
      </c>
      <c r="Q292" s="463">
        <f t="shared" si="77"/>
        <v>125.63</v>
      </c>
      <c r="R292" s="463">
        <f t="shared" si="78"/>
        <v>51.93</v>
      </c>
      <c r="S292" s="463">
        <f t="shared" si="79"/>
        <v>24.88</v>
      </c>
      <c r="T292" s="463">
        <f t="shared" si="91"/>
        <v>163.1</v>
      </c>
      <c r="U292" s="472"/>
      <c r="V292" s="472"/>
      <c r="W292" s="472"/>
      <c r="X292" s="574">
        <f t="shared" si="80"/>
        <v>125.63</v>
      </c>
      <c r="Y292" s="422" t="b">
        <f t="shared" si="81"/>
        <v>1</v>
      </c>
      <c r="Z292" s="574">
        <f t="shared" si="82"/>
        <v>202.44</v>
      </c>
      <c r="AA292" s="710">
        <f t="shared" si="83"/>
        <v>0.41</v>
      </c>
    </row>
    <row r="293" spans="1:27" ht="18" hidden="1" customHeight="1" outlineLevel="1" x14ac:dyDescent="0.25">
      <c r="A293" s="774" t="s">
        <v>745</v>
      </c>
      <c r="B293" s="423" t="s">
        <v>746</v>
      </c>
      <c r="C293" s="445" t="s">
        <v>499</v>
      </c>
      <c r="D293" s="475" t="s">
        <v>42</v>
      </c>
      <c r="E293" s="475" t="s">
        <v>54</v>
      </c>
      <c r="F293" s="461">
        <f t="shared" si="89"/>
        <v>53.44</v>
      </c>
      <c r="G293" s="461">
        <v>1.44</v>
      </c>
      <c r="H293" s="461"/>
      <c r="I293" s="461"/>
      <c r="J293" s="461"/>
      <c r="K293" s="461"/>
      <c r="L293" s="725"/>
      <c r="M293" s="463">
        <f t="shared" si="90"/>
        <v>76.95</v>
      </c>
      <c r="N293" s="463">
        <f t="shared" si="74"/>
        <v>7.7</v>
      </c>
      <c r="O293" s="463">
        <f t="shared" si="75"/>
        <v>20.239999999999998</v>
      </c>
      <c r="P293" s="463">
        <f t="shared" si="76"/>
        <v>230.08</v>
      </c>
      <c r="Q293" s="463">
        <f t="shared" si="77"/>
        <v>334.97</v>
      </c>
      <c r="R293" s="463">
        <f t="shared" si="78"/>
        <v>138.38999999999999</v>
      </c>
      <c r="S293" s="463">
        <f t="shared" si="79"/>
        <v>66.319999999999993</v>
      </c>
      <c r="T293" s="463">
        <f t="shared" si="91"/>
        <v>434.8</v>
      </c>
      <c r="U293" s="472"/>
      <c r="V293" s="472"/>
      <c r="W293" s="472"/>
      <c r="X293" s="574">
        <f t="shared" si="80"/>
        <v>334.97</v>
      </c>
      <c r="Y293" s="422" t="b">
        <f t="shared" si="81"/>
        <v>1</v>
      </c>
      <c r="Z293" s="574">
        <f t="shared" si="82"/>
        <v>539.67999999999995</v>
      </c>
      <c r="AA293" s="710">
        <f t="shared" si="83"/>
        <v>0.41</v>
      </c>
    </row>
    <row r="294" spans="1:27" ht="18" hidden="1" customHeight="1" outlineLevel="1" x14ac:dyDescent="0.25">
      <c r="A294" s="774" t="s">
        <v>747</v>
      </c>
      <c r="B294" s="423" t="s">
        <v>748</v>
      </c>
      <c r="C294" s="445" t="s">
        <v>45</v>
      </c>
      <c r="D294" s="475" t="s">
        <v>42</v>
      </c>
      <c r="E294" s="475" t="s">
        <v>54</v>
      </c>
      <c r="F294" s="461">
        <f t="shared" si="89"/>
        <v>53.44</v>
      </c>
      <c r="G294" s="461">
        <v>0.66</v>
      </c>
      <c r="H294" s="461"/>
      <c r="I294" s="461"/>
      <c r="J294" s="461"/>
      <c r="K294" s="461"/>
      <c r="L294" s="725"/>
      <c r="M294" s="463">
        <f t="shared" si="90"/>
        <v>35.270000000000003</v>
      </c>
      <c r="N294" s="463">
        <f t="shared" si="74"/>
        <v>3.53</v>
      </c>
      <c r="O294" s="463">
        <f t="shared" si="75"/>
        <v>9.2799999999999994</v>
      </c>
      <c r="P294" s="463">
        <f t="shared" si="76"/>
        <v>105.46</v>
      </c>
      <c r="Q294" s="463">
        <f t="shared" si="77"/>
        <v>153.54</v>
      </c>
      <c r="R294" s="463">
        <f t="shared" si="78"/>
        <v>63.44</v>
      </c>
      <c r="S294" s="463">
        <f t="shared" si="79"/>
        <v>30.4</v>
      </c>
      <c r="T294" s="463">
        <f t="shared" si="91"/>
        <v>199.3</v>
      </c>
      <c r="U294" s="472"/>
      <c r="V294" s="472"/>
      <c r="W294" s="472"/>
      <c r="X294" s="574">
        <f t="shared" si="80"/>
        <v>153.54</v>
      </c>
      <c r="Y294" s="422" t="b">
        <f t="shared" si="81"/>
        <v>1</v>
      </c>
      <c r="Z294" s="574">
        <f t="shared" si="82"/>
        <v>247.38</v>
      </c>
      <c r="AA294" s="710">
        <f t="shared" si="83"/>
        <v>0.41</v>
      </c>
    </row>
    <row r="295" spans="1:27" ht="18" hidden="1" customHeight="1" outlineLevel="1" x14ac:dyDescent="0.25">
      <c r="A295" s="774" t="s">
        <v>749</v>
      </c>
      <c r="B295" s="423" t="s">
        <v>750</v>
      </c>
      <c r="C295" s="445" t="s">
        <v>751</v>
      </c>
      <c r="D295" s="475" t="s">
        <v>42</v>
      </c>
      <c r="E295" s="475" t="s">
        <v>54</v>
      </c>
      <c r="F295" s="461">
        <f t="shared" si="89"/>
        <v>53.44</v>
      </c>
      <c r="G295" s="461">
        <v>0.32</v>
      </c>
      <c r="H295" s="461"/>
      <c r="I295" s="461"/>
      <c r="J295" s="461"/>
      <c r="K295" s="461"/>
      <c r="L295" s="725"/>
      <c r="M295" s="463">
        <f t="shared" si="90"/>
        <v>17.100000000000001</v>
      </c>
      <c r="N295" s="463">
        <f t="shared" si="74"/>
        <v>1.71</v>
      </c>
      <c r="O295" s="463">
        <f t="shared" si="75"/>
        <v>4.5</v>
      </c>
      <c r="P295" s="463">
        <f t="shared" si="76"/>
        <v>51.13</v>
      </c>
      <c r="Q295" s="463">
        <f t="shared" si="77"/>
        <v>74.44</v>
      </c>
      <c r="R295" s="463">
        <f t="shared" si="78"/>
        <v>30.73</v>
      </c>
      <c r="S295" s="463">
        <f t="shared" si="79"/>
        <v>14.73</v>
      </c>
      <c r="T295" s="463">
        <f t="shared" si="91"/>
        <v>96.6</v>
      </c>
      <c r="U295" s="472"/>
      <c r="V295" s="472"/>
      <c r="W295" s="472"/>
      <c r="X295" s="574">
        <f t="shared" si="80"/>
        <v>74.44</v>
      </c>
      <c r="Y295" s="422" t="b">
        <f t="shared" si="81"/>
        <v>1</v>
      </c>
      <c r="Z295" s="574">
        <f t="shared" si="82"/>
        <v>119.9</v>
      </c>
      <c r="AA295" s="710">
        <f t="shared" si="83"/>
        <v>0.41</v>
      </c>
    </row>
    <row r="296" spans="1:27" ht="18" hidden="1" customHeight="1" outlineLevel="1" x14ac:dyDescent="0.25">
      <c r="A296" s="479" t="s">
        <v>752</v>
      </c>
      <c r="B296" s="422" t="s">
        <v>753</v>
      </c>
      <c r="C296" s="445" t="s">
        <v>421</v>
      </c>
      <c r="D296" s="475" t="s">
        <v>42</v>
      </c>
      <c r="E296" s="475" t="s">
        <v>54</v>
      </c>
      <c r="F296" s="461">
        <f t="shared" si="89"/>
        <v>53.44</v>
      </c>
      <c r="G296" s="461">
        <v>0.5</v>
      </c>
      <c r="H296" s="461"/>
      <c r="I296" s="461"/>
      <c r="J296" s="461"/>
      <c r="K296" s="461"/>
      <c r="L296" s="725"/>
      <c r="M296" s="463">
        <f t="shared" si="90"/>
        <v>26.72</v>
      </c>
      <c r="N296" s="463">
        <f t="shared" si="74"/>
        <v>2.67</v>
      </c>
      <c r="O296" s="463">
        <f t="shared" si="75"/>
        <v>7.03</v>
      </c>
      <c r="P296" s="463">
        <f t="shared" si="76"/>
        <v>79.89</v>
      </c>
      <c r="Q296" s="463">
        <f t="shared" si="77"/>
        <v>116.31</v>
      </c>
      <c r="R296" s="463">
        <f t="shared" si="78"/>
        <v>48.08</v>
      </c>
      <c r="S296" s="463">
        <f t="shared" si="79"/>
        <v>23.03</v>
      </c>
      <c r="T296" s="463">
        <f t="shared" si="91"/>
        <v>151</v>
      </c>
      <c r="U296" s="472"/>
      <c r="V296" s="472"/>
      <c r="W296" s="472"/>
      <c r="X296" s="574">
        <f t="shared" si="80"/>
        <v>116.31</v>
      </c>
      <c r="Y296" s="422" t="b">
        <f t="shared" si="81"/>
        <v>1</v>
      </c>
      <c r="Z296" s="574">
        <f t="shared" si="82"/>
        <v>187.42</v>
      </c>
      <c r="AA296" s="710">
        <f t="shared" si="83"/>
        <v>0.41</v>
      </c>
    </row>
    <row r="297" spans="1:27" ht="18" hidden="1" customHeight="1" outlineLevel="1" x14ac:dyDescent="0.25">
      <c r="A297" s="479" t="s">
        <v>754</v>
      </c>
      <c r="B297" s="422" t="s">
        <v>614</v>
      </c>
      <c r="C297" s="445" t="s">
        <v>615</v>
      </c>
      <c r="D297" s="475" t="s">
        <v>42</v>
      </c>
      <c r="E297" s="475" t="s">
        <v>54</v>
      </c>
      <c r="F297" s="461">
        <f t="shared" si="89"/>
        <v>53.44</v>
      </c>
      <c r="G297" s="461">
        <v>0.33</v>
      </c>
      <c r="H297" s="461"/>
      <c r="I297" s="461"/>
      <c r="J297" s="461"/>
      <c r="K297" s="461"/>
      <c r="L297" s="725"/>
      <c r="M297" s="463">
        <f t="shared" si="90"/>
        <v>17.64</v>
      </c>
      <c r="N297" s="463">
        <f t="shared" si="74"/>
        <v>1.76</v>
      </c>
      <c r="O297" s="463">
        <f t="shared" si="75"/>
        <v>4.6399999999999997</v>
      </c>
      <c r="P297" s="463">
        <f t="shared" si="76"/>
        <v>52.74</v>
      </c>
      <c r="Q297" s="463">
        <f t="shared" si="77"/>
        <v>76.78</v>
      </c>
      <c r="R297" s="463">
        <f t="shared" si="78"/>
        <v>31.75</v>
      </c>
      <c r="S297" s="463">
        <f t="shared" si="79"/>
        <v>15.21</v>
      </c>
      <c r="T297" s="463">
        <f t="shared" si="91"/>
        <v>99.7</v>
      </c>
      <c r="U297" s="472"/>
      <c r="V297" s="472"/>
      <c r="W297" s="472"/>
      <c r="X297" s="574">
        <f t="shared" si="80"/>
        <v>76.78</v>
      </c>
      <c r="Y297" s="422" t="b">
        <f t="shared" si="81"/>
        <v>1</v>
      </c>
      <c r="Z297" s="574">
        <f t="shared" si="82"/>
        <v>123.74</v>
      </c>
      <c r="AA297" s="710">
        <f t="shared" si="83"/>
        <v>0.41</v>
      </c>
    </row>
    <row r="298" spans="1:27" ht="18" hidden="1" customHeight="1" outlineLevel="1" x14ac:dyDescent="0.25">
      <c r="A298" s="479" t="s">
        <v>755</v>
      </c>
      <c r="B298" s="422" t="s">
        <v>601</v>
      </c>
      <c r="C298" s="445" t="s">
        <v>403</v>
      </c>
      <c r="D298" s="475" t="s">
        <v>42</v>
      </c>
      <c r="E298" s="475" t="s">
        <v>54</v>
      </c>
      <c r="F298" s="461">
        <f t="shared" si="89"/>
        <v>53.44</v>
      </c>
      <c r="G298" s="461">
        <v>0.65</v>
      </c>
      <c r="H298" s="461"/>
      <c r="I298" s="461"/>
      <c r="J298" s="461"/>
      <c r="K298" s="461"/>
      <c r="L298" s="725"/>
      <c r="M298" s="463">
        <f t="shared" si="90"/>
        <v>34.74</v>
      </c>
      <c r="N298" s="463">
        <f t="shared" si="74"/>
        <v>3.47</v>
      </c>
      <c r="O298" s="463">
        <f t="shared" si="75"/>
        <v>9.14</v>
      </c>
      <c r="P298" s="463">
        <f t="shared" si="76"/>
        <v>103.87</v>
      </c>
      <c r="Q298" s="463">
        <f t="shared" si="77"/>
        <v>151.22</v>
      </c>
      <c r="R298" s="463">
        <f t="shared" si="78"/>
        <v>62.49</v>
      </c>
      <c r="S298" s="463">
        <f t="shared" si="79"/>
        <v>29.94</v>
      </c>
      <c r="T298" s="463">
        <f t="shared" si="91"/>
        <v>196.3</v>
      </c>
      <c r="U298" s="472"/>
      <c r="V298" s="472"/>
      <c r="W298" s="472"/>
      <c r="X298" s="574">
        <f t="shared" si="80"/>
        <v>151.22</v>
      </c>
      <c r="Y298" s="422" t="b">
        <f t="shared" si="81"/>
        <v>1</v>
      </c>
      <c r="Z298" s="574">
        <f t="shared" si="82"/>
        <v>243.65</v>
      </c>
      <c r="AA298" s="710">
        <f t="shared" si="83"/>
        <v>0.41</v>
      </c>
    </row>
    <row r="299" spans="1:27" ht="18" hidden="1" customHeight="1" outlineLevel="1" x14ac:dyDescent="0.25">
      <c r="A299" s="479" t="s">
        <v>756</v>
      </c>
      <c r="B299" s="422" t="s">
        <v>757</v>
      </c>
      <c r="C299" s="445" t="s">
        <v>409</v>
      </c>
      <c r="D299" s="475" t="s">
        <v>42</v>
      </c>
      <c r="E299" s="475" t="s">
        <v>54</v>
      </c>
      <c r="F299" s="461">
        <f t="shared" si="89"/>
        <v>53.44</v>
      </c>
      <c r="G299" s="461">
        <v>0.33</v>
      </c>
      <c r="H299" s="461"/>
      <c r="I299" s="461"/>
      <c r="J299" s="461"/>
      <c r="K299" s="461"/>
      <c r="L299" s="725"/>
      <c r="M299" s="463">
        <f t="shared" si="90"/>
        <v>17.64</v>
      </c>
      <c r="N299" s="463">
        <f t="shared" si="74"/>
        <v>1.76</v>
      </c>
      <c r="O299" s="463">
        <f t="shared" si="75"/>
        <v>4.6399999999999997</v>
      </c>
      <c r="P299" s="463">
        <f t="shared" si="76"/>
        <v>52.74</v>
      </c>
      <c r="Q299" s="463">
        <f t="shared" si="77"/>
        <v>76.78</v>
      </c>
      <c r="R299" s="463">
        <f t="shared" si="78"/>
        <v>31.75</v>
      </c>
      <c r="S299" s="463">
        <f t="shared" si="79"/>
        <v>15.21</v>
      </c>
      <c r="T299" s="463">
        <f t="shared" si="91"/>
        <v>99.7</v>
      </c>
      <c r="U299" s="472"/>
      <c r="V299" s="472"/>
      <c r="W299" s="472"/>
      <c r="X299" s="574">
        <f t="shared" si="80"/>
        <v>76.78</v>
      </c>
      <c r="Y299" s="422" t="b">
        <f t="shared" si="81"/>
        <v>1</v>
      </c>
      <c r="Z299" s="574">
        <f t="shared" si="82"/>
        <v>123.74</v>
      </c>
      <c r="AA299" s="710">
        <f t="shared" si="83"/>
        <v>0.41</v>
      </c>
    </row>
    <row r="300" spans="1:27" ht="18" hidden="1" customHeight="1" outlineLevel="1" x14ac:dyDescent="0.25">
      <c r="A300" s="479" t="s">
        <v>758</v>
      </c>
      <c r="B300" s="422" t="s">
        <v>759</v>
      </c>
      <c r="C300" s="445" t="s">
        <v>506</v>
      </c>
      <c r="D300" s="475" t="s">
        <v>42</v>
      </c>
      <c r="E300" s="475" t="s">
        <v>54</v>
      </c>
      <c r="F300" s="461">
        <f t="shared" si="89"/>
        <v>53.44</v>
      </c>
      <c r="G300" s="461">
        <v>1.33</v>
      </c>
      <c r="H300" s="461"/>
      <c r="I300" s="461"/>
      <c r="J300" s="461"/>
      <c r="K300" s="461"/>
      <c r="L300" s="725"/>
      <c r="M300" s="463">
        <f t="shared" si="90"/>
        <v>71.08</v>
      </c>
      <c r="N300" s="463">
        <f t="shared" si="74"/>
        <v>7.11</v>
      </c>
      <c r="O300" s="463">
        <f t="shared" si="75"/>
        <v>18.690000000000001</v>
      </c>
      <c r="P300" s="463">
        <f t="shared" si="76"/>
        <v>212.53</v>
      </c>
      <c r="Q300" s="463">
        <f t="shared" si="77"/>
        <v>309.41000000000003</v>
      </c>
      <c r="R300" s="463">
        <f t="shared" si="78"/>
        <v>127.81</v>
      </c>
      <c r="S300" s="463">
        <f t="shared" si="79"/>
        <v>61.26</v>
      </c>
      <c r="T300" s="463">
        <f t="shared" si="91"/>
        <v>401.6</v>
      </c>
      <c r="U300" s="472"/>
      <c r="V300" s="472"/>
      <c r="W300" s="472"/>
      <c r="X300" s="574">
        <f t="shared" si="80"/>
        <v>309.41000000000003</v>
      </c>
      <c r="Y300" s="422" t="b">
        <f t="shared" si="81"/>
        <v>1</v>
      </c>
      <c r="Z300" s="574">
        <f t="shared" si="82"/>
        <v>498.48</v>
      </c>
      <c r="AA300" s="710">
        <f t="shared" si="83"/>
        <v>0.41</v>
      </c>
    </row>
    <row r="301" spans="1:27" ht="18" hidden="1" customHeight="1" outlineLevel="1" x14ac:dyDescent="0.25">
      <c r="A301" s="479" t="s">
        <v>760</v>
      </c>
      <c r="B301" s="422" t="s">
        <v>761</v>
      </c>
      <c r="C301" s="445" t="s">
        <v>762</v>
      </c>
      <c r="D301" s="475" t="s">
        <v>42</v>
      </c>
      <c r="E301" s="475" t="s">
        <v>54</v>
      </c>
      <c r="F301" s="461">
        <f t="shared" si="89"/>
        <v>53.44</v>
      </c>
      <c r="G301" s="461">
        <v>1.42</v>
      </c>
      <c r="H301" s="461"/>
      <c r="I301" s="461"/>
      <c r="J301" s="461"/>
      <c r="K301" s="461"/>
      <c r="L301" s="725"/>
      <c r="M301" s="463">
        <f t="shared" si="90"/>
        <v>75.88</v>
      </c>
      <c r="N301" s="463">
        <f t="shared" si="74"/>
        <v>7.59</v>
      </c>
      <c r="O301" s="463">
        <f t="shared" si="75"/>
        <v>19.96</v>
      </c>
      <c r="P301" s="463">
        <f t="shared" si="76"/>
        <v>226.88</v>
      </c>
      <c r="Q301" s="463">
        <f t="shared" si="77"/>
        <v>330.31</v>
      </c>
      <c r="R301" s="463">
        <f t="shared" si="78"/>
        <v>136.43</v>
      </c>
      <c r="S301" s="463">
        <f t="shared" si="79"/>
        <v>65.400000000000006</v>
      </c>
      <c r="T301" s="463">
        <f t="shared" si="91"/>
        <v>428.7</v>
      </c>
      <c r="U301" s="472"/>
      <c r="V301" s="472"/>
      <c r="W301" s="472"/>
      <c r="X301" s="574">
        <f t="shared" si="80"/>
        <v>330.31</v>
      </c>
      <c r="Y301" s="422" t="b">
        <f t="shared" si="81"/>
        <v>1</v>
      </c>
      <c r="Z301" s="574">
        <f t="shared" si="82"/>
        <v>532.14</v>
      </c>
      <c r="AA301" s="710">
        <f t="shared" si="83"/>
        <v>0.41</v>
      </c>
    </row>
    <row r="302" spans="1:27" ht="18" hidden="1" customHeight="1" outlineLevel="1" x14ac:dyDescent="0.25">
      <c r="A302" s="479" t="s">
        <v>763</v>
      </c>
      <c r="B302" s="422" t="s">
        <v>764</v>
      </c>
      <c r="C302" s="445" t="s">
        <v>765</v>
      </c>
      <c r="D302" s="475" t="s">
        <v>42</v>
      </c>
      <c r="E302" s="475" t="s">
        <v>54</v>
      </c>
      <c r="F302" s="461">
        <f t="shared" si="89"/>
        <v>53.44</v>
      </c>
      <c r="G302" s="461">
        <v>0.6</v>
      </c>
      <c r="H302" s="461"/>
      <c r="I302" s="461"/>
      <c r="J302" s="461"/>
      <c r="K302" s="461"/>
      <c r="L302" s="725"/>
      <c r="M302" s="463">
        <f t="shared" si="90"/>
        <v>32.06</v>
      </c>
      <c r="N302" s="463">
        <f t="shared" si="74"/>
        <v>3.21</v>
      </c>
      <c r="O302" s="463">
        <f t="shared" si="75"/>
        <v>8.43</v>
      </c>
      <c r="P302" s="463">
        <f t="shared" si="76"/>
        <v>95.86</v>
      </c>
      <c r="Q302" s="463">
        <f t="shared" si="77"/>
        <v>139.56</v>
      </c>
      <c r="R302" s="463">
        <f t="shared" si="78"/>
        <v>57.61</v>
      </c>
      <c r="S302" s="463">
        <f t="shared" si="79"/>
        <v>27.62</v>
      </c>
      <c r="T302" s="463">
        <f t="shared" si="91"/>
        <v>181.1</v>
      </c>
      <c r="U302" s="472"/>
      <c r="V302" s="472"/>
      <c r="W302" s="472"/>
      <c r="X302" s="574">
        <f t="shared" si="80"/>
        <v>139.56</v>
      </c>
      <c r="Y302" s="422" t="b">
        <f t="shared" si="81"/>
        <v>1</v>
      </c>
      <c r="Z302" s="574">
        <f t="shared" si="82"/>
        <v>224.79</v>
      </c>
      <c r="AA302" s="710">
        <f t="shared" si="83"/>
        <v>0.41</v>
      </c>
    </row>
    <row r="303" spans="1:27" ht="18" hidden="1" customHeight="1" outlineLevel="1" x14ac:dyDescent="0.25">
      <c r="A303" s="479" t="s">
        <v>766</v>
      </c>
      <c r="B303" s="422" t="s">
        <v>767</v>
      </c>
      <c r="C303" s="445" t="s">
        <v>612</v>
      </c>
      <c r="D303" s="475" t="s">
        <v>42</v>
      </c>
      <c r="E303" s="475" t="s">
        <v>54</v>
      </c>
      <c r="F303" s="461">
        <f t="shared" si="89"/>
        <v>53.44</v>
      </c>
      <c r="G303" s="461">
        <v>0.86</v>
      </c>
      <c r="H303" s="461"/>
      <c r="I303" s="461"/>
      <c r="J303" s="461"/>
      <c r="K303" s="461"/>
      <c r="L303" s="725"/>
      <c r="M303" s="463">
        <f t="shared" si="90"/>
        <v>45.96</v>
      </c>
      <c r="N303" s="463">
        <f t="shared" si="74"/>
        <v>4.5999999999999996</v>
      </c>
      <c r="O303" s="463">
        <f t="shared" si="75"/>
        <v>12.09</v>
      </c>
      <c r="P303" s="463">
        <f t="shared" si="76"/>
        <v>137.41999999999999</v>
      </c>
      <c r="Q303" s="463">
        <f t="shared" si="77"/>
        <v>200.07</v>
      </c>
      <c r="R303" s="463">
        <f t="shared" si="78"/>
        <v>82.66</v>
      </c>
      <c r="S303" s="463">
        <f t="shared" si="79"/>
        <v>39.61</v>
      </c>
      <c r="T303" s="463">
        <f t="shared" si="91"/>
        <v>259.7</v>
      </c>
      <c r="U303" s="472"/>
      <c r="V303" s="472"/>
      <c r="W303" s="472"/>
      <c r="X303" s="574">
        <f t="shared" si="80"/>
        <v>200.07</v>
      </c>
      <c r="Y303" s="422" t="b">
        <f t="shared" si="81"/>
        <v>1</v>
      </c>
      <c r="Z303" s="574">
        <f t="shared" si="82"/>
        <v>322.33999999999997</v>
      </c>
      <c r="AA303" s="710">
        <f t="shared" si="83"/>
        <v>0.41</v>
      </c>
    </row>
    <row r="304" spans="1:27" ht="18" hidden="1" customHeight="1" outlineLevel="1" x14ac:dyDescent="0.25">
      <c r="A304" s="479" t="s">
        <v>768</v>
      </c>
      <c r="B304" s="422" t="s">
        <v>769</v>
      </c>
      <c r="C304" s="445" t="s">
        <v>421</v>
      </c>
      <c r="D304" s="475" t="s">
        <v>42</v>
      </c>
      <c r="E304" s="475" t="s">
        <v>54</v>
      </c>
      <c r="F304" s="461">
        <f t="shared" si="89"/>
        <v>53.44</v>
      </c>
      <c r="G304" s="461">
        <v>1</v>
      </c>
      <c r="H304" s="461"/>
      <c r="I304" s="461"/>
      <c r="J304" s="461"/>
      <c r="K304" s="461"/>
      <c r="L304" s="725"/>
      <c r="M304" s="463">
        <f t="shared" si="90"/>
        <v>53.44</v>
      </c>
      <c r="N304" s="463">
        <f t="shared" si="74"/>
        <v>5.34</v>
      </c>
      <c r="O304" s="463">
        <f t="shared" si="75"/>
        <v>14.05</v>
      </c>
      <c r="P304" s="463">
        <f t="shared" si="76"/>
        <v>159.79</v>
      </c>
      <c r="Q304" s="463">
        <f t="shared" si="77"/>
        <v>232.62</v>
      </c>
      <c r="R304" s="463">
        <f t="shared" si="78"/>
        <v>96.06</v>
      </c>
      <c r="S304" s="463">
        <f t="shared" si="79"/>
        <v>46.05</v>
      </c>
      <c r="T304" s="463">
        <f t="shared" si="91"/>
        <v>301.89999999999998</v>
      </c>
      <c r="U304" s="472"/>
      <c r="V304" s="472"/>
      <c r="W304" s="472"/>
      <c r="X304" s="574">
        <f t="shared" si="80"/>
        <v>232.62</v>
      </c>
      <c r="Y304" s="422" t="b">
        <f t="shared" si="81"/>
        <v>1</v>
      </c>
      <c r="Z304" s="574">
        <f t="shared" si="82"/>
        <v>374.73</v>
      </c>
      <c r="AA304" s="710">
        <f t="shared" si="83"/>
        <v>0.41</v>
      </c>
    </row>
    <row r="305" spans="1:27" ht="18" hidden="1" customHeight="1" outlineLevel="1" x14ac:dyDescent="0.25">
      <c r="A305" s="479" t="s">
        <v>770</v>
      </c>
      <c r="B305" s="422" t="s">
        <v>771</v>
      </c>
      <c r="C305" s="445" t="s">
        <v>436</v>
      </c>
      <c r="D305" s="475" t="s">
        <v>42</v>
      </c>
      <c r="E305" s="475" t="s">
        <v>54</v>
      </c>
      <c r="F305" s="461">
        <f t="shared" si="89"/>
        <v>53.44</v>
      </c>
      <c r="G305" s="461">
        <v>1.5</v>
      </c>
      <c r="H305" s="461"/>
      <c r="I305" s="461"/>
      <c r="J305" s="461"/>
      <c r="K305" s="461"/>
      <c r="L305" s="725"/>
      <c r="M305" s="463">
        <f t="shared" si="90"/>
        <v>80.16</v>
      </c>
      <c r="N305" s="463">
        <f t="shared" si="74"/>
        <v>8.02</v>
      </c>
      <c r="O305" s="463">
        <f t="shared" si="75"/>
        <v>21.08</v>
      </c>
      <c r="P305" s="463">
        <f t="shared" si="76"/>
        <v>239.68</v>
      </c>
      <c r="Q305" s="463">
        <f t="shared" si="77"/>
        <v>348.94</v>
      </c>
      <c r="R305" s="463">
        <f t="shared" si="78"/>
        <v>144.13</v>
      </c>
      <c r="S305" s="463">
        <f t="shared" si="79"/>
        <v>69.09</v>
      </c>
      <c r="T305" s="463">
        <f t="shared" si="91"/>
        <v>452.9</v>
      </c>
      <c r="U305" s="472"/>
      <c r="V305" s="472"/>
      <c r="W305" s="472"/>
      <c r="X305" s="574">
        <f t="shared" si="80"/>
        <v>348.94</v>
      </c>
      <c r="Y305" s="422" t="b">
        <f t="shared" si="81"/>
        <v>1</v>
      </c>
      <c r="Z305" s="574">
        <f t="shared" si="82"/>
        <v>562.16</v>
      </c>
      <c r="AA305" s="710">
        <f t="shared" si="83"/>
        <v>0.41</v>
      </c>
    </row>
    <row r="306" spans="1:27" ht="18" hidden="1" customHeight="1" outlineLevel="1" x14ac:dyDescent="0.25">
      <c r="A306" s="479" t="s">
        <v>772</v>
      </c>
      <c r="B306" s="422" t="s">
        <v>773</v>
      </c>
      <c r="C306" s="445" t="s">
        <v>412</v>
      </c>
      <c r="D306" s="475" t="s">
        <v>42</v>
      </c>
      <c r="E306" s="475" t="s">
        <v>54</v>
      </c>
      <c r="F306" s="461">
        <f t="shared" si="89"/>
        <v>53.44</v>
      </c>
      <c r="G306" s="461">
        <v>1.7</v>
      </c>
      <c r="H306" s="461"/>
      <c r="I306" s="461"/>
      <c r="J306" s="461"/>
      <c r="K306" s="461"/>
      <c r="L306" s="725"/>
      <c r="M306" s="463">
        <f t="shared" si="90"/>
        <v>90.85</v>
      </c>
      <c r="N306" s="463">
        <f t="shared" si="74"/>
        <v>9.09</v>
      </c>
      <c r="O306" s="463">
        <f t="shared" si="75"/>
        <v>23.89</v>
      </c>
      <c r="P306" s="463">
        <f t="shared" si="76"/>
        <v>271.64</v>
      </c>
      <c r="Q306" s="463">
        <f t="shared" si="77"/>
        <v>395.47</v>
      </c>
      <c r="R306" s="463">
        <f t="shared" si="78"/>
        <v>163.36000000000001</v>
      </c>
      <c r="S306" s="463">
        <f t="shared" si="79"/>
        <v>78.3</v>
      </c>
      <c r="T306" s="463">
        <f t="shared" si="91"/>
        <v>513.29999999999995</v>
      </c>
      <c r="U306" s="472"/>
      <c r="V306" s="472"/>
      <c r="W306" s="472"/>
      <c r="X306" s="574">
        <f t="shared" si="80"/>
        <v>395.47</v>
      </c>
      <c r="Y306" s="422" t="b">
        <f t="shared" si="81"/>
        <v>1</v>
      </c>
      <c r="Z306" s="574">
        <f t="shared" si="82"/>
        <v>637.13</v>
      </c>
      <c r="AA306" s="710">
        <f t="shared" si="83"/>
        <v>0.41</v>
      </c>
    </row>
    <row r="307" spans="1:27" ht="18" hidden="1" customHeight="1" outlineLevel="1" x14ac:dyDescent="0.25">
      <c r="A307" s="479" t="s">
        <v>774</v>
      </c>
      <c r="B307" s="498" t="s">
        <v>775</v>
      </c>
      <c r="C307" s="445" t="s">
        <v>45</v>
      </c>
      <c r="D307" s="475" t="s">
        <v>42</v>
      </c>
      <c r="E307" s="475" t="s">
        <v>54</v>
      </c>
      <c r="F307" s="461">
        <f t="shared" si="89"/>
        <v>53.44</v>
      </c>
      <c r="G307" s="461">
        <v>1.3</v>
      </c>
      <c r="H307" s="461"/>
      <c r="I307" s="461"/>
      <c r="J307" s="461"/>
      <c r="K307" s="461"/>
      <c r="L307" s="725"/>
      <c r="M307" s="463">
        <f t="shared" si="90"/>
        <v>69.47</v>
      </c>
      <c r="N307" s="463">
        <f t="shared" si="74"/>
        <v>6.95</v>
      </c>
      <c r="O307" s="463">
        <f t="shared" si="75"/>
        <v>18.27</v>
      </c>
      <c r="P307" s="463">
        <f t="shared" si="76"/>
        <v>207.72</v>
      </c>
      <c r="Q307" s="463">
        <f t="shared" si="77"/>
        <v>302.41000000000003</v>
      </c>
      <c r="R307" s="463">
        <f t="shared" si="78"/>
        <v>124.91</v>
      </c>
      <c r="S307" s="463">
        <f t="shared" si="79"/>
        <v>59.87</v>
      </c>
      <c r="T307" s="463">
        <f t="shared" si="91"/>
        <v>392.5</v>
      </c>
      <c r="U307" s="472"/>
      <c r="V307" s="472"/>
      <c r="W307" s="472"/>
      <c r="X307" s="574">
        <f t="shared" si="80"/>
        <v>302.41000000000003</v>
      </c>
      <c r="Y307" s="422" t="b">
        <f t="shared" si="81"/>
        <v>1</v>
      </c>
      <c r="Z307" s="574">
        <f t="shared" si="82"/>
        <v>487.19</v>
      </c>
      <c r="AA307" s="710">
        <f t="shared" si="83"/>
        <v>0.41</v>
      </c>
    </row>
    <row r="308" spans="1:27" ht="18" hidden="1" customHeight="1" outlineLevel="1" x14ac:dyDescent="0.25">
      <c r="A308" s="479" t="s">
        <v>776</v>
      </c>
      <c r="B308" s="422" t="s">
        <v>777</v>
      </c>
      <c r="C308" s="445" t="s">
        <v>436</v>
      </c>
      <c r="D308" s="475" t="s">
        <v>42</v>
      </c>
      <c r="E308" s="475" t="s">
        <v>54</v>
      </c>
      <c r="F308" s="461">
        <f t="shared" si="89"/>
        <v>53.44</v>
      </c>
      <c r="G308" s="461">
        <v>0.33</v>
      </c>
      <c r="H308" s="461"/>
      <c r="I308" s="461"/>
      <c r="J308" s="461"/>
      <c r="K308" s="461"/>
      <c r="L308" s="725"/>
      <c r="M308" s="463">
        <f t="shared" si="90"/>
        <v>17.64</v>
      </c>
      <c r="N308" s="463">
        <f t="shared" ref="N308:N328" si="92">M308*10%</f>
        <v>1.76</v>
      </c>
      <c r="O308" s="463">
        <f t="shared" ref="O308:O328" si="93">M308*26.3%</f>
        <v>4.6399999999999997</v>
      </c>
      <c r="P308" s="463">
        <f t="shared" ref="P308:P328" si="94">M308*299%</f>
        <v>52.74</v>
      </c>
      <c r="Q308" s="463">
        <f t="shared" ref="Q308:Q328" si="95">M308+N308+O308+P308</f>
        <v>76.78</v>
      </c>
      <c r="R308" s="463">
        <f t="shared" ref="R308:R371" si="96">T308/1.18-P308</f>
        <v>31.75</v>
      </c>
      <c r="S308" s="463">
        <f t="shared" ref="S308:S371" si="97">(P308+R308)*18%</f>
        <v>15.21</v>
      </c>
      <c r="T308" s="463">
        <f t="shared" si="91"/>
        <v>99.7</v>
      </c>
      <c r="U308" s="472"/>
      <c r="V308" s="472"/>
      <c r="W308" s="472"/>
      <c r="X308" s="574">
        <f t="shared" ref="X308:X328" si="98">M308+N308+O308+P308</f>
        <v>76.78</v>
      </c>
      <c r="Y308" s="422" t="b">
        <f t="shared" si="81"/>
        <v>1</v>
      </c>
      <c r="Z308" s="574">
        <f t="shared" si="82"/>
        <v>123.74</v>
      </c>
      <c r="AA308" s="710">
        <f t="shared" si="83"/>
        <v>0.41</v>
      </c>
    </row>
    <row r="309" spans="1:27" ht="15.75" hidden="1" customHeight="1" outlineLevel="1" x14ac:dyDescent="0.25">
      <c r="A309" s="479" t="s">
        <v>778</v>
      </c>
      <c r="B309" s="422" t="s">
        <v>779</v>
      </c>
      <c r="C309" s="445"/>
      <c r="D309" s="475"/>
      <c r="E309" s="475"/>
      <c r="F309" s="461"/>
      <c r="G309" s="461"/>
      <c r="H309" s="461"/>
      <c r="I309" s="461"/>
      <c r="J309" s="461"/>
      <c r="K309" s="461"/>
      <c r="L309" s="725"/>
      <c r="M309" s="463"/>
      <c r="N309" s="463">
        <f t="shared" si="92"/>
        <v>0</v>
      </c>
      <c r="O309" s="463">
        <f t="shared" si="93"/>
        <v>0</v>
      </c>
      <c r="P309" s="463">
        <f t="shared" si="94"/>
        <v>0</v>
      </c>
      <c r="Q309" s="463">
        <f t="shared" si="95"/>
        <v>0</v>
      </c>
      <c r="R309" s="463">
        <f t="shared" si="96"/>
        <v>0</v>
      </c>
      <c r="S309" s="463">
        <f t="shared" si="97"/>
        <v>0</v>
      </c>
      <c r="T309" s="773"/>
      <c r="U309" s="472"/>
      <c r="V309" s="472"/>
      <c r="W309" s="472"/>
      <c r="X309" s="574">
        <f t="shared" si="98"/>
        <v>0</v>
      </c>
      <c r="Y309" s="422" t="b">
        <f t="shared" si="81"/>
        <v>1</v>
      </c>
      <c r="Z309" s="574">
        <f t="shared" si="82"/>
        <v>0</v>
      </c>
      <c r="AA309" s="710" t="e">
        <f t="shared" si="83"/>
        <v>#DIV/0!</v>
      </c>
    </row>
    <row r="310" spans="1:27" ht="12.75" hidden="1" customHeight="1" outlineLevel="1" x14ac:dyDescent="0.25">
      <c r="A310" s="479"/>
      <c r="B310" s="422" t="s">
        <v>780</v>
      </c>
      <c r="C310" s="445" t="s">
        <v>45</v>
      </c>
      <c r="D310" s="475" t="s">
        <v>42</v>
      </c>
      <c r="E310" s="475" t="s">
        <v>54</v>
      </c>
      <c r="F310" s="461">
        <f>$F$29</f>
        <v>53.44</v>
      </c>
      <c r="G310" s="461">
        <v>1.5</v>
      </c>
      <c r="H310" s="461"/>
      <c r="I310" s="461"/>
      <c r="J310" s="461"/>
      <c r="K310" s="461"/>
      <c r="L310" s="725"/>
      <c r="M310" s="463">
        <f>F310*G310</f>
        <v>80.16</v>
      </c>
      <c r="N310" s="463">
        <f t="shared" si="92"/>
        <v>8.02</v>
      </c>
      <c r="O310" s="463">
        <f t="shared" si="93"/>
        <v>21.08</v>
      </c>
      <c r="P310" s="463">
        <f t="shared" si="94"/>
        <v>239.68</v>
      </c>
      <c r="Q310" s="463">
        <f t="shared" si="95"/>
        <v>348.94</v>
      </c>
      <c r="R310" s="463">
        <f t="shared" si="96"/>
        <v>144.13</v>
      </c>
      <c r="S310" s="463">
        <f t="shared" si="97"/>
        <v>69.09</v>
      </c>
      <c r="T310" s="463">
        <f>ROUND(Q310*1.298,1)</f>
        <v>452.9</v>
      </c>
      <c r="U310" s="472"/>
      <c r="V310" s="472"/>
      <c r="W310" s="472"/>
      <c r="X310" s="574">
        <f t="shared" si="98"/>
        <v>348.94</v>
      </c>
      <c r="Y310" s="422" t="b">
        <f t="shared" si="81"/>
        <v>1</v>
      </c>
      <c r="Z310" s="574">
        <f t="shared" si="82"/>
        <v>562.16</v>
      </c>
      <c r="AA310" s="710">
        <f t="shared" si="83"/>
        <v>0.41</v>
      </c>
    </row>
    <row r="311" spans="1:27" ht="16.5" hidden="1" customHeight="1" outlineLevel="1" x14ac:dyDescent="0.25">
      <c r="A311" s="479" t="s">
        <v>781</v>
      </c>
      <c r="B311" s="422" t="s">
        <v>782</v>
      </c>
      <c r="C311" s="445"/>
      <c r="D311" s="475"/>
      <c r="E311" s="475"/>
      <c r="F311" s="461"/>
      <c r="G311" s="461"/>
      <c r="H311" s="461"/>
      <c r="I311" s="461"/>
      <c r="J311" s="461"/>
      <c r="K311" s="461"/>
      <c r="L311" s="725"/>
      <c r="M311" s="463"/>
      <c r="N311" s="463">
        <f t="shared" si="92"/>
        <v>0</v>
      </c>
      <c r="O311" s="463">
        <f t="shared" si="93"/>
        <v>0</v>
      </c>
      <c r="P311" s="463">
        <f t="shared" si="94"/>
        <v>0</v>
      </c>
      <c r="Q311" s="463">
        <f t="shared" si="95"/>
        <v>0</v>
      </c>
      <c r="R311" s="463">
        <f t="shared" si="96"/>
        <v>0</v>
      </c>
      <c r="S311" s="463">
        <f t="shared" si="97"/>
        <v>0</v>
      </c>
      <c r="T311" s="463"/>
      <c r="U311" s="472"/>
      <c r="V311" s="472"/>
      <c r="W311" s="472"/>
      <c r="X311" s="574">
        <f t="shared" si="98"/>
        <v>0</v>
      </c>
      <c r="Y311" s="422" t="b">
        <f t="shared" ref="Y311:Y374" si="99">Q311=X311</f>
        <v>1</v>
      </c>
      <c r="Z311" s="574">
        <f t="shared" ref="Z311:Z374" si="100">Q311+R311+S311</f>
        <v>0</v>
      </c>
      <c r="AA311" s="710" t="e">
        <f t="shared" ref="AA311:AA374" si="101">R311/Q311</f>
        <v>#DIV/0!</v>
      </c>
    </row>
    <row r="312" spans="1:27" ht="12.75" hidden="1" customHeight="1" outlineLevel="1" x14ac:dyDescent="0.25">
      <c r="A312" s="479"/>
      <c r="B312" s="422" t="s">
        <v>783</v>
      </c>
      <c r="C312" s="445" t="s">
        <v>45</v>
      </c>
      <c r="D312" s="475" t="s">
        <v>42</v>
      </c>
      <c r="E312" s="475" t="s">
        <v>54</v>
      </c>
      <c r="F312" s="461">
        <f t="shared" ref="F312:F330" si="102">$F$29</f>
        <v>53.44</v>
      </c>
      <c r="G312" s="461">
        <v>0.5</v>
      </c>
      <c r="H312" s="461"/>
      <c r="I312" s="461"/>
      <c r="J312" s="461"/>
      <c r="K312" s="461"/>
      <c r="L312" s="725"/>
      <c r="M312" s="463">
        <f t="shared" ref="M312:M336" si="103">F312*G312</f>
        <v>26.72</v>
      </c>
      <c r="N312" s="463">
        <f t="shared" si="92"/>
        <v>2.67</v>
      </c>
      <c r="O312" s="463">
        <f t="shared" si="93"/>
        <v>7.03</v>
      </c>
      <c r="P312" s="463">
        <f t="shared" si="94"/>
        <v>79.89</v>
      </c>
      <c r="Q312" s="463">
        <f t="shared" si="95"/>
        <v>116.31</v>
      </c>
      <c r="R312" s="463">
        <f t="shared" si="96"/>
        <v>48.08</v>
      </c>
      <c r="S312" s="463">
        <f t="shared" si="97"/>
        <v>23.03</v>
      </c>
      <c r="T312" s="463">
        <f t="shared" ref="T312:T330" si="104">ROUND(Q312*1.298,1)</f>
        <v>151</v>
      </c>
      <c r="U312" s="472"/>
      <c r="V312" s="472"/>
      <c r="W312" s="472"/>
      <c r="X312" s="574">
        <f t="shared" si="98"/>
        <v>116.31</v>
      </c>
      <c r="Y312" s="422" t="b">
        <f t="shared" si="99"/>
        <v>1</v>
      </c>
      <c r="Z312" s="574">
        <f t="shared" si="100"/>
        <v>187.42</v>
      </c>
      <c r="AA312" s="710">
        <f t="shared" si="101"/>
        <v>0.41</v>
      </c>
    </row>
    <row r="313" spans="1:27" ht="18" hidden="1" customHeight="1" outlineLevel="1" x14ac:dyDescent="0.25">
      <c r="A313" s="479" t="s">
        <v>784</v>
      </c>
      <c r="B313" s="422" t="s">
        <v>785</v>
      </c>
      <c r="C313" s="445" t="s">
        <v>436</v>
      </c>
      <c r="D313" s="475" t="s">
        <v>42</v>
      </c>
      <c r="E313" s="475" t="s">
        <v>54</v>
      </c>
      <c r="F313" s="461">
        <f t="shared" si="102"/>
        <v>53.44</v>
      </c>
      <c r="G313" s="461">
        <v>0.33</v>
      </c>
      <c r="H313" s="461"/>
      <c r="I313" s="461"/>
      <c r="J313" s="461"/>
      <c r="K313" s="461"/>
      <c r="L313" s="725"/>
      <c r="M313" s="463">
        <f t="shared" si="103"/>
        <v>17.64</v>
      </c>
      <c r="N313" s="463">
        <f t="shared" si="92"/>
        <v>1.76</v>
      </c>
      <c r="O313" s="463">
        <f t="shared" si="93"/>
        <v>4.6399999999999997</v>
      </c>
      <c r="P313" s="463">
        <f t="shared" si="94"/>
        <v>52.74</v>
      </c>
      <c r="Q313" s="463">
        <f t="shared" si="95"/>
        <v>76.78</v>
      </c>
      <c r="R313" s="463">
        <f t="shared" si="96"/>
        <v>31.75</v>
      </c>
      <c r="S313" s="463">
        <f t="shared" si="97"/>
        <v>15.21</v>
      </c>
      <c r="T313" s="463">
        <f t="shared" si="104"/>
        <v>99.7</v>
      </c>
      <c r="U313" s="472"/>
      <c r="V313" s="472"/>
      <c r="W313" s="472"/>
      <c r="X313" s="574">
        <f t="shared" si="98"/>
        <v>76.78</v>
      </c>
      <c r="Y313" s="422" t="b">
        <f t="shared" si="99"/>
        <v>1</v>
      </c>
      <c r="Z313" s="574">
        <f t="shared" si="100"/>
        <v>123.74</v>
      </c>
      <c r="AA313" s="710">
        <f t="shared" si="101"/>
        <v>0.41</v>
      </c>
    </row>
    <row r="314" spans="1:27" ht="18" hidden="1" customHeight="1" outlineLevel="1" x14ac:dyDescent="0.25">
      <c r="A314" s="479" t="s">
        <v>786</v>
      </c>
      <c r="B314" s="422" t="s">
        <v>787</v>
      </c>
      <c r="C314" s="445" t="s">
        <v>45</v>
      </c>
      <c r="D314" s="475" t="s">
        <v>42</v>
      </c>
      <c r="E314" s="475" t="s">
        <v>54</v>
      </c>
      <c r="F314" s="461">
        <f t="shared" si="102"/>
        <v>53.44</v>
      </c>
      <c r="G314" s="461">
        <v>1.5</v>
      </c>
      <c r="H314" s="461"/>
      <c r="I314" s="461"/>
      <c r="J314" s="461"/>
      <c r="K314" s="461"/>
      <c r="L314" s="725"/>
      <c r="M314" s="463">
        <f t="shared" si="103"/>
        <v>80.16</v>
      </c>
      <c r="N314" s="463">
        <f t="shared" si="92"/>
        <v>8.02</v>
      </c>
      <c r="O314" s="463">
        <f t="shared" si="93"/>
        <v>21.08</v>
      </c>
      <c r="P314" s="463">
        <f t="shared" si="94"/>
        <v>239.68</v>
      </c>
      <c r="Q314" s="463">
        <f t="shared" si="95"/>
        <v>348.94</v>
      </c>
      <c r="R314" s="463">
        <f t="shared" si="96"/>
        <v>144.13</v>
      </c>
      <c r="S314" s="463">
        <f t="shared" si="97"/>
        <v>69.09</v>
      </c>
      <c r="T314" s="463">
        <f t="shared" si="104"/>
        <v>452.9</v>
      </c>
      <c r="U314" s="472"/>
      <c r="V314" s="472"/>
      <c r="W314" s="472"/>
      <c r="X314" s="574">
        <f t="shared" si="98"/>
        <v>348.94</v>
      </c>
      <c r="Y314" s="422" t="b">
        <f t="shared" si="99"/>
        <v>1</v>
      </c>
      <c r="Z314" s="574">
        <f t="shared" si="100"/>
        <v>562.16</v>
      </c>
      <c r="AA314" s="710">
        <f t="shared" si="101"/>
        <v>0.41</v>
      </c>
    </row>
    <row r="315" spans="1:27" ht="18" hidden="1" customHeight="1" outlineLevel="1" x14ac:dyDescent="0.25">
      <c r="A315" s="479" t="s">
        <v>788</v>
      </c>
      <c r="B315" s="422" t="s">
        <v>789</v>
      </c>
      <c r="C315" s="445" t="s">
        <v>45</v>
      </c>
      <c r="D315" s="475" t="s">
        <v>42</v>
      </c>
      <c r="E315" s="475" t="s">
        <v>54</v>
      </c>
      <c r="F315" s="461">
        <f t="shared" si="102"/>
        <v>53.44</v>
      </c>
      <c r="G315" s="461">
        <v>1.03</v>
      </c>
      <c r="H315" s="461"/>
      <c r="I315" s="461"/>
      <c r="J315" s="461"/>
      <c r="K315" s="461"/>
      <c r="L315" s="725"/>
      <c r="M315" s="463">
        <f t="shared" si="103"/>
        <v>55.04</v>
      </c>
      <c r="N315" s="463">
        <f t="shared" si="92"/>
        <v>5.5</v>
      </c>
      <c r="O315" s="463">
        <f t="shared" si="93"/>
        <v>14.48</v>
      </c>
      <c r="P315" s="463">
        <f t="shared" si="94"/>
        <v>164.57</v>
      </c>
      <c r="Q315" s="463">
        <f t="shared" si="95"/>
        <v>239.59</v>
      </c>
      <c r="R315" s="463">
        <f t="shared" si="96"/>
        <v>98.99</v>
      </c>
      <c r="S315" s="463">
        <f t="shared" si="97"/>
        <v>47.44</v>
      </c>
      <c r="T315" s="463">
        <f t="shared" si="104"/>
        <v>311</v>
      </c>
      <c r="U315" s="472"/>
      <c r="V315" s="472"/>
      <c r="W315" s="472"/>
      <c r="X315" s="574">
        <f t="shared" si="98"/>
        <v>239.59</v>
      </c>
      <c r="Y315" s="422" t="b">
        <f t="shared" si="99"/>
        <v>1</v>
      </c>
      <c r="Z315" s="574">
        <f t="shared" si="100"/>
        <v>386.02</v>
      </c>
      <c r="AA315" s="710">
        <f t="shared" si="101"/>
        <v>0.41</v>
      </c>
    </row>
    <row r="316" spans="1:27" ht="18" hidden="1" customHeight="1" outlineLevel="1" x14ac:dyDescent="0.25">
      <c r="A316" s="479" t="s">
        <v>790</v>
      </c>
      <c r="B316" s="422" t="s">
        <v>637</v>
      </c>
      <c r="C316" s="445" t="s">
        <v>45</v>
      </c>
      <c r="D316" s="475" t="s">
        <v>42</v>
      </c>
      <c r="E316" s="475" t="s">
        <v>54</v>
      </c>
      <c r="F316" s="461">
        <f t="shared" si="102"/>
        <v>53.44</v>
      </c>
      <c r="G316" s="461">
        <v>0.3</v>
      </c>
      <c r="H316" s="461"/>
      <c r="I316" s="461"/>
      <c r="J316" s="461"/>
      <c r="K316" s="461"/>
      <c r="L316" s="725"/>
      <c r="M316" s="463">
        <f t="shared" si="103"/>
        <v>16.03</v>
      </c>
      <c r="N316" s="463">
        <f t="shared" si="92"/>
        <v>1.6</v>
      </c>
      <c r="O316" s="463">
        <f t="shared" si="93"/>
        <v>4.22</v>
      </c>
      <c r="P316" s="463">
        <f t="shared" si="94"/>
        <v>47.93</v>
      </c>
      <c r="Q316" s="463">
        <f t="shared" si="95"/>
        <v>69.78</v>
      </c>
      <c r="R316" s="463">
        <f t="shared" si="96"/>
        <v>28.85</v>
      </c>
      <c r="S316" s="463">
        <f t="shared" si="97"/>
        <v>13.82</v>
      </c>
      <c r="T316" s="463">
        <f t="shared" si="104"/>
        <v>90.6</v>
      </c>
      <c r="U316" s="472"/>
      <c r="V316" s="472"/>
      <c r="W316" s="472"/>
      <c r="X316" s="574">
        <f t="shared" si="98"/>
        <v>69.78</v>
      </c>
      <c r="Y316" s="422" t="b">
        <f t="shared" si="99"/>
        <v>1</v>
      </c>
      <c r="Z316" s="574">
        <f t="shared" si="100"/>
        <v>112.45</v>
      </c>
      <c r="AA316" s="710">
        <f t="shared" si="101"/>
        <v>0.41</v>
      </c>
    </row>
    <row r="317" spans="1:27" ht="18" hidden="1" customHeight="1" outlineLevel="1" x14ac:dyDescent="0.25">
      <c r="A317" s="479" t="s">
        <v>791</v>
      </c>
      <c r="B317" s="422" t="s">
        <v>792</v>
      </c>
      <c r="C317" s="445" t="s">
        <v>45</v>
      </c>
      <c r="D317" s="475" t="s">
        <v>42</v>
      </c>
      <c r="E317" s="475" t="s">
        <v>54</v>
      </c>
      <c r="F317" s="461">
        <f t="shared" si="102"/>
        <v>53.44</v>
      </c>
      <c r="G317" s="461">
        <v>0.64</v>
      </c>
      <c r="H317" s="461"/>
      <c r="I317" s="461"/>
      <c r="J317" s="461"/>
      <c r="K317" s="461"/>
      <c r="L317" s="725"/>
      <c r="M317" s="463">
        <f t="shared" si="103"/>
        <v>34.200000000000003</v>
      </c>
      <c r="N317" s="463">
        <f t="shared" si="92"/>
        <v>3.42</v>
      </c>
      <c r="O317" s="463">
        <f t="shared" si="93"/>
        <v>8.99</v>
      </c>
      <c r="P317" s="463">
        <f t="shared" si="94"/>
        <v>102.26</v>
      </c>
      <c r="Q317" s="463">
        <f t="shared" si="95"/>
        <v>148.87</v>
      </c>
      <c r="R317" s="463">
        <f t="shared" si="96"/>
        <v>61.47</v>
      </c>
      <c r="S317" s="463">
        <f t="shared" si="97"/>
        <v>29.47</v>
      </c>
      <c r="T317" s="463">
        <f t="shared" si="104"/>
        <v>193.2</v>
      </c>
      <c r="U317" s="472"/>
      <c r="V317" s="472"/>
      <c r="W317" s="472"/>
      <c r="X317" s="574">
        <f t="shared" si="98"/>
        <v>148.87</v>
      </c>
      <c r="Y317" s="422" t="b">
        <f t="shared" si="99"/>
        <v>1</v>
      </c>
      <c r="Z317" s="574">
        <f t="shared" si="100"/>
        <v>239.81</v>
      </c>
      <c r="AA317" s="710">
        <f t="shared" si="101"/>
        <v>0.41</v>
      </c>
    </row>
    <row r="318" spans="1:27" ht="18" hidden="1" customHeight="1" outlineLevel="1" x14ac:dyDescent="0.25">
      <c r="A318" s="479" t="s">
        <v>793</v>
      </c>
      <c r="B318" s="422" t="s">
        <v>794</v>
      </c>
      <c r="C318" s="445" t="s">
        <v>45</v>
      </c>
      <c r="D318" s="475" t="s">
        <v>42</v>
      </c>
      <c r="E318" s="475" t="s">
        <v>54</v>
      </c>
      <c r="F318" s="461">
        <f t="shared" si="102"/>
        <v>53.44</v>
      </c>
      <c r="G318" s="461">
        <v>0.21</v>
      </c>
      <c r="H318" s="461"/>
      <c r="I318" s="461"/>
      <c r="J318" s="461"/>
      <c r="K318" s="461"/>
      <c r="L318" s="725"/>
      <c r="M318" s="463">
        <f t="shared" si="103"/>
        <v>11.22</v>
      </c>
      <c r="N318" s="463">
        <f t="shared" si="92"/>
        <v>1.1200000000000001</v>
      </c>
      <c r="O318" s="463">
        <f t="shared" si="93"/>
        <v>2.95</v>
      </c>
      <c r="P318" s="463">
        <f t="shared" si="94"/>
        <v>33.549999999999997</v>
      </c>
      <c r="Q318" s="463">
        <f t="shared" si="95"/>
        <v>48.84</v>
      </c>
      <c r="R318" s="463">
        <f t="shared" si="96"/>
        <v>20.18</v>
      </c>
      <c r="S318" s="463">
        <f t="shared" si="97"/>
        <v>9.67</v>
      </c>
      <c r="T318" s="463">
        <f t="shared" si="104"/>
        <v>63.4</v>
      </c>
      <c r="U318" s="472"/>
      <c r="V318" s="472"/>
      <c r="W318" s="472"/>
      <c r="X318" s="574">
        <f t="shared" si="98"/>
        <v>48.84</v>
      </c>
      <c r="Y318" s="422" t="b">
        <f t="shared" si="99"/>
        <v>1</v>
      </c>
      <c r="Z318" s="574">
        <f t="shared" si="100"/>
        <v>78.69</v>
      </c>
      <c r="AA318" s="710">
        <f t="shared" si="101"/>
        <v>0.41</v>
      </c>
    </row>
    <row r="319" spans="1:27" ht="18" hidden="1" customHeight="1" outlineLevel="1" x14ac:dyDescent="0.25">
      <c r="A319" s="479" t="s">
        <v>795</v>
      </c>
      <c r="B319" s="422" t="s">
        <v>796</v>
      </c>
      <c r="C319" s="445" t="s">
        <v>45</v>
      </c>
      <c r="D319" s="475" t="s">
        <v>42</v>
      </c>
      <c r="E319" s="475" t="s">
        <v>54</v>
      </c>
      <c r="F319" s="461">
        <f t="shared" si="102"/>
        <v>53.44</v>
      </c>
      <c r="G319" s="461">
        <v>0.6</v>
      </c>
      <c r="H319" s="461"/>
      <c r="I319" s="461"/>
      <c r="J319" s="461"/>
      <c r="K319" s="461"/>
      <c r="L319" s="725"/>
      <c r="M319" s="463">
        <f t="shared" si="103"/>
        <v>32.06</v>
      </c>
      <c r="N319" s="463">
        <f t="shared" si="92"/>
        <v>3.21</v>
      </c>
      <c r="O319" s="463">
        <f t="shared" si="93"/>
        <v>8.43</v>
      </c>
      <c r="P319" s="463">
        <f t="shared" si="94"/>
        <v>95.86</v>
      </c>
      <c r="Q319" s="463">
        <f t="shared" si="95"/>
        <v>139.56</v>
      </c>
      <c r="R319" s="463">
        <f t="shared" si="96"/>
        <v>57.61</v>
      </c>
      <c r="S319" s="463">
        <f t="shared" si="97"/>
        <v>27.62</v>
      </c>
      <c r="T319" s="463">
        <f t="shared" si="104"/>
        <v>181.1</v>
      </c>
      <c r="U319" s="472"/>
      <c r="V319" s="472"/>
      <c r="W319" s="472"/>
      <c r="X319" s="574">
        <f t="shared" si="98"/>
        <v>139.56</v>
      </c>
      <c r="Y319" s="422" t="b">
        <f t="shared" si="99"/>
        <v>1</v>
      </c>
      <c r="Z319" s="574">
        <f t="shared" si="100"/>
        <v>224.79</v>
      </c>
      <c r="AA319" s="710">
        <f t="shared" si="101"/>
        <v>0.41</v>
      </c>
    </row>
    <row r="320" spans="1:27" ht="18" hidden="1" customHeight="1" outlineLevel="1" x14ac:dyDescent="0.25">
      <c r="A320" s="479" t="s">
        <v>797</v>
      </c>
      <c r="B320" s="422" t="s">
        <v>798</v>
      </c>
      <c r="C320" s="445" t="s">
        <v>45</v>
      </c>
      <c r="D320" s="475" t="s">
        <v>42</v>
      </c>
      <c r="E320" s="475" t="s">
        <v>54</v>
      </c>
      <c r="F320" s="461">
        <f t="shared" si="102"/>
        <v>53.44</v>
      </c>
      <c r="G320" s="461">
        <v>0.7</v>
      </c>
      <c r="H320" s="461"/>
      <c r="I320" s="461"/>
      <c r="J320" s="461"/>
      <c r="K320" s="461"/>
      <c r="L320" s="725"/>
      <c r="M320" s="463">
        <f t="shared" si="103"/>
        <v>37.409999999999997</v>
      </c>
      <c r="N320" s="463">
        <f t="shared" si="92"/>
        <v>3.74</v>
      </c>
      <c r="O320" s="463">
        <f t="shared" si="93"/>
        <v>9.84</v>
      </c>
      <c r="P320" s="463">
        <f t="shared" si="94"/>
        <v>111.86</v>
      </c>
      <c r="Q320" s="463">
        <f t="shared" si="95"/>
        <v>162.85</v>
      </c>
      <c r="R320" s="463">
        <f t="shared" si="96"/>
        <v>67.290000000000006</v>
      </c>
      <c r="S320" s="463">
        <f t="shared" si="97"/>
        <v>32.25</v>
      </c>
      <c r="T320" s="463">
        <f t="shared" si="104"/>
        <v>211.4</v>
      </c>
      <c r="U320" s="472"/>
      <c r="V320" s="472"/>
      <c r="W320" s="472"/>
      <c r="X320" s="574">
        <f t="shared" si="98"/>
        <v>162.85</v>
      </c>
      <c r="Y320" s="422" t="b">
        <f t="shared" si="99"/>
        <v>1</v>
      </c>
      <c r="Z320" s="574">
        <f t="shared" si="100"/>
        <v>262.39</v>
      </c>
      <c r="AA320" s="710">
        <f t="shared" si="101"/>
        <v>0.41</v>
      </c>
    </row>
    <row r="321" spans="1:27" ht="18" hidden="1" customHeight="1" outlineLevel="1" x14ac:dyDescent="0.25">
      <c r="A321" s="479" t="s">
        <v>799</v>
      </c>
      <c r="B321" s="422" t="s">
        <v>800</v>
      </c>
      <c r="C321" s="445" t="s">
        <v>45</v>
      </c>
      <c r="D321" s="475" t="s">
        <v>42</v>
      </c>
      <c r="E321" s="475" t="s">
        <v>54</v>
      </c>
      <c r="F321" s="461">
        <f t="shared" si="102"/>
        <v>53.44</v>
      </c>
      <c r="G321" s="461">
        <v>0.62</v>
      </c>
      <c r="H321" s="461"/>
      <c r="I321" s="461"/>
      <c r="J321" s="461"/>
      <c r="K321" s="461"/>
      <c r="L321" s="725"/>
      <c r="M321" s="463">
        <f t="shared" si="103"/>
        <v>33.130000000000003</v>
      </c>
      <c r="N321" s="463">
        <f t="shared" si="92"/>
        <v>3.31</v>
      </c>
      <c r="O321" s="463">
        <f t="shared" si="93"/>
        <v>8.7100000000000009</v>
      </c>
      <c r="P321" s="463">
        <f t="shared" si="94"/>
        <v>99.06</v>
      </c>
      <c r="Q321" s="463">
        <f t="shared" si="95"/>
        <v>144.21</v>
      </c>
      <c r="R321" s="463">
        <f t="shared" si="96"/>
        <v>59.58</v>
      </c>
      <c r="S321" s="463">
        <f t="shared" si="97"/>
        <v>28.56</v>
      </c>
      <c r="T321" s="463">
        <f t="shared" si="104"/>
        <v>187.2</v>
      </c>
      <c r="U321" s="472"/>
      <c r="V321" s="472"/>
      <c r="W321" s="472"/>
      <c r="X321" s="574">
        <f t="shared" si="98"/>
        <v>144.21</v>
      </c>
      <c r="Y321" s="422" t="b">
        <f t="shared" si="99"/>
        <v>1</v>
      </c>
      <c r="Z321" s="574">
        <f t="shared" si="100"/>
        <v>232.35</v>
      </c>
      <c r="AA321" s="710">
        <f t="shared" si="101"/>
        <v>0.41</v>
      </c>
    </row>
    <row r="322" spans="1:27" ht="18" hidden="1" customHeight="1" outlineLevel="1" x14ac:dyDescent="0.25">
      <c r="A322" s="479" t="s">
        <v>801</v>
      </c>
      <c r="B322" s="422" t="s">
        <v>802</v>
      </c>
      <c r="C322" s="445" t="s">
        <v>45</v>
      </c>
      <c r="D322" s="475" t="s">
        <v>42</v>
      </c>
      <c r="E322" s="475" t="s">
        <v>54</v>
      </c>
      <c r="F322" s="461">
        <f t="shared" si="102"/>
        <v>53.44</v>
      </c>
      <c r="G322" s="461">
        <v>0.35</v>
      </c>
      <c r="H322" s="461"/>
      <c r="I322" s="461"/>
      <c r="J322" s="461"/>
      <c r="K322" s="461"/>
      <c r="L322" s="725"/>
      <c r="M322" s="463">
        <f t="shared" si="103"/>
        <v>18.7</v>
      </c>
      <c r="N322" s="463">
        <f t="shared" si="92"/>
        <v>1.87</v>
      </c>
      <c r="O322" s="463">
        <f t="shared" si="93"/>
        <v>4.92</v>
      </c>
      <c r="P322" s="463">
        <f t="shared" si="94"/>
        <v>55.91</v>
      </c>
      <c r="Q322" s="463">
        <f t="shared" si="95"/>
        <v>81.400000000000006</v>
      </c>
      <c r="R322" s="463">
        <f t="shared" si="96"/>
        <v>33.67</v>
      </c>
      <c r="S322" s="463">
        <f t="shared" si="97"/>
        <v>16.12</v>
      </c>
      <c r="T322" s="463">
        <f t="shared" si="104"/>
        <v>105.7</v>
      </c>
      <c r="U322" s="472"/>
      <c r="V322" s="472"/>
      <c r="W322" s="472"/>
      <c r="X322" s="574">
        <f t="shared" si="98"/>
        <v>81.400000000000006</v>
      </c>
      <c r="Y322" s="422" t="b">
        <f t="shared" si="99"/>
        <v>1</v>
      </c>
      <c r="Z322" s="574">
        <f t="shared" si="100"/>
        <v>131.19</v>
      </c>
      <c r="AA322" s="710">
        <f t="shared" si="101"/>
        <v>0.41</v>
      </c>
    </row>
    <row r="323" spans="1:27" ht="18" hidden="1" customHeight="1" outlineLevel="1" x14ac:dyDescent="0.25">
      <c r="A323" s="479" t="s">
        <v>803</v>
      </c>
      <c r="B323" s="422" t="s">
        <v>804</v>
      </c>
      <c r="C323" s="445" t="s">
        <v>45</v>
      </c>
      <c r="D323" s="475" t="s">
        <v>42</v>
      </c>
      <c r="E323" s="475" t="s">
        <v>54</v>
      </c>
      <c r="F323" s="461">
        <f t="shared" si="102"/>
        <v>53.44</v>
      </c>
      <c r="G323" s="461">
        <v>0.25</v>
      </c>
      <c r="H323" s="461"/>
      <c r="I323" s="461"/>
      <c r="J323" s="461"/>
      <c r="K323" s="461"/>
      <c r="L323" s="725"/>
      <c r="M323" s="463">
        <f t="shared" si="103"/>
        <v>13.36</v>
      </c>
      <c r="N323" s="463">
        <f t="shared" si="92"/>
        <v>1.34</v>
      </c>
      <c r="O323" s="463">
        <f t="shared" si="93"/>
        <v>3.51</v>
      </c>
      <c r="P323" s="463">
        <f t="shared" si="94"/>
        <v>39.950000000000003</v>
      </c>
      <c r="Q323" s="463">
        <f t="shared" si="95"/>
        <v>58.16</v>
      </c>
      <c r="R323" s="463">
        <f t="shared" si="96"/>
        <v>24.03</v>
      </c>
      <c r="S323" s="463">
        <f t="shared" si="97"/>
        <v>11.52</v>
      </c>
      <c r="T323" s="463">
        <f t="shared" si="104"/>
        <v>75.5</v>
      </c>
      <c r="U323" s="472"/>
      <c r="V323" s="472"/>
      <c r="W323" s="472"/>
      <c r="X323" s="574">
        <f t="shared" si="98"/>
        <v>58.16</v>
      </c>
      <c r="Y323" s="422" t="b">
        <f t="shared" si="99"/>
        <v>1</v>
      </c>
      <c r="Z323" s="574">
        <f t="shared" si="100"/>
        <v>93.71</v>
      </c>
      <c r="AA323" s="710">
        <f t="shared" si="101"/>
        <v>0.41</v>
      </c>
    </row>
    <row r="324" spans="1:27" ht="18" hidden="1" customHeight="1" outlineLevel="1" x14ac:dyDescent="0.25">
      <c r="A324" s="479" t="s">
        <v>805</v>
      </c>
      <c r="B324" s="422" t="s">
        <v>806</v>
      </c>
      <c r="C324" s="445" t="s">
        <v>45</v>
      </c>
      <c r="D324" s="475" t="s">
        <v>42</v>
      </c>
      <c r="E324" s="475" t="s">
        <v>54</v>
      </c>
      <c r="F324" s="461">
        <f t="shared" si="102"/>
        <v>53.44</v>
      </c>
      <c r="G324" s="461">
        <v>0.26</v>
      </c>
      <c r="H324" s="461"/>
      <c r="I324" s="461"/>
      <c r="J324" s="461"/>
      <c r="K324" s="461"/>
      <c r="L324" s="725"/>
      <c r="M324" s="463">
        <f t="shared" si="103"/>
        <v>13.89</v>
      </c>
      <c r="N324" s="463">
        <f t="shared" si="92"/>
        <v>1.39</v>
      </c>
      <c r="O324" s="463">
        <f t="shared" si="93"/>
        <v>3.65</v>
      </c>
      <c r="P324" s="463">
        <f t="shared" si="94"/>
        <v>41.53</v>
      </c>
      <c r="Q324" s="463">
        <f t="shared" si="95"/>
        <v>60.46</v>
      </c>
      <c r="R324" s="463">
        <f t="shared" si="96"/>
        <v>25</v>
      </c>
      <c r="S324" s="463">
        <f t="shared" si="97"/>
        <v>11.98</v>
      </c>
      <c r="T324" s="463">
        <f t="shared" si="104"/>
        <v>78.5</v>
      </c>
      <c r="U324" s="472"/>
      <c r="V324" s="472"/>
      <c r="W324" s="472"/>
      <c r="X324" s="574">
        <f t="shared" si="98"/>
        <v>60.46</v>
      </c>
      <c r="Y324" s="422" t="b">
        <f t="shared" si="99"/>
        <v>1</v>
      </c>
      <c r="Z324" s="574">
        <f t="shared" si="100"/>
        <v>97.44</v>
      </c>
      <c r="AA324" s="710">
        <f t="shared" si="101"/>
        <v>0.41</v>
      </c>
    </row>
    <row r="325" spans="1:27" ht="18" hidden="1" customHeight="1" outlineLevel="1" x14ac:dyDescent="0.25">
      <c r="A325" s="479" t="s">
        <v>807</v>
      </c>
      <c r="B325" s="422" t="s">
        <v>808</v>
      </c>
      <c r="C325" s="445" t="s">
        <v>45</v>
      </c>
      <c r="D325" s="475" t="s">
        <v>42</v>
      </c>
      <c r="E325" s="475" t="s">
        <v>54</v>
      </c>
      <c r="F325" s="461">
        <f t="shared" si="102"/>
        <v>53.44</v>
      </c>
      <c r="G325" s="461">
        <v>0.8</v>
      </c>
      <c r="H325" s="461"/>
      <c r="I325" s="461"/>
      <c r="J325" s="461"/>
      <c r="K325" s="461"/>
      <c r="L325" s="725"/>
      <c r="M325" s="463">
        <f t="shared" si="103"/>
        <v>42.75</v>
      </c>
      <c r="N325" s="463">
        <f t="shared" si="92"/>
        <v>4.28</v>
      </c>
      <c r="O325" s="463">
        <f t="shared" si="93"/>
        <v>11.24</v>
      </c>
      <c r="P325" s="463">
        <f t="shared" si="94"/>
        <v>127.82</v>
      </c>
      <c r="Q325" s="463">
        <f t="shared" si="95"/>
        <v>186.09</v>
      </c>
      <c r="R325" s="463">
        <f t="shared" si="96"/>
        <v>76.84</v>
      </c>
      <c r="S325" s="463">
        <f t="shared" si="97"/>
        <v>36.840000000000003</v>
      </c>
      <c r="T325" s="463">
        <f t="shared" si="104"/>
        <v>241.5</v>
      </c>
      <c r="U325" s="472"/>
      <c r="V325" s="472"/>
      <c r="W325" s="472"/>
      <c r="X325" s="574">
        <f t="shared" si="98"/>
        <v>186.09</v>
      </c>
      <c r="Y325" s="422" t="b">
        <f t="shared" si="99"/>
        <v>1</v>
      </c>
      <c r="Z325" s="574">
        <f t="shared" si="100"/>
        <v>299.77</v>
      </c>
      <c r="AA325" s="710">
        <f t="shared" si="101"/>
        <v>0.41</v>
      </c>
    </row>
    <row r="326" spans="1:27" ht="18" hidden="1" customHeight="1" outlineLevel="1" x14ac:dyDescent="0.25">
      <c r="A326" s="479" t="s">
        <v>809</v>
      </c>
      <c r="B326" s="422" t="s">
        <v>810</v>
      </c>
      <c r="C326" s="445" t="s">
        <v>45</v>
      </c>
      <c r="D326" s="475" t="s">
        <v>42</v>
      </c>
      <c r="E326" s="475" t="s">
        <v>54</v>
      </c>
      <c r="F326" s="461">
        <f t="shared" si="102"/>
        <v>53.44</v>
      </c>
      <c r="G326" s="461">
        <v>1.5</v>
      </c>
      <c r="H326" s="461"/>
      <c r="I326" s="461"/>
      <c r="J326" s="461"/>
      <c r="K326" s="461"/>
      <c r="L326" s="725"/>
      <c r="M326" s="463">
        <f t="shared" si="103"/>
        <v>80.16</v>
      </c>
      <c r="N326" s="463">
        <f t="shared" si="92"/>
        <v>8.02</v>
      </c>
      <c r="O326" s="463">
        <f t="shared" si="93"/>
        <v>21.08</v>
      </c>
      <c r="P326" s="463">
        <f t="shared" si="94"/>
        <v>239.68</v>
      </c>
      <c r="Q326" s="463">
        <f t="shared" si="95"/>
        <v>348.94</v>
      </c>
      <c r="R326" s="463">
        <f t="shared" si="96"/>
        <v>144.13</v>
      </c>
      <c r="S326" s="463">
        <f t="shared" si="97"/>
        <v>69.09</v>
      </c>
      <c r="T326" s="463">
        <f t="shared" si="104"/>
        <v>452.9</v>
      </c>
      <c r="U326" s="472"/>
      <c r="V326" s="472"/>
      <c r="W326" s="472"/>
      <c r="X326" s="574">
        <f t="shared" si="98"/>
        <v>348.94</v>
      </c>
      <c r="Y326" s="422" t="b">
        <f t="shared" si="99"/>
        <v>1</v>
      </c>
      <c r="Z326" s="574">
        <f t="shared" si="100"/>
        <v>562.16</v>
      </c>
      <c r="AA326" s="710">
        <f t="shared" si="101"/>
        <v>0.41</v>
      </c>
    </row>
    <row r="327" spans="1:27" ht="18" hidden="1" customHeight="1" outlineLevel="1" x14ac:dyDescent="0.25">
      <c r="A327" s="479" t="s">
        <v>811</v>
      </c>
      <c r="B327" s="422" t="s">
        <v>812</v>
      </c>
      <c r="C327" s="445" t="s">
        <v>45</v>
      </c>
      <c r="D327" s="475" t="s">
        <v>42</v>
      </c>
      <c r="E327" s="475" t="s">
        <v>54</v>
      </c>
      <c r="F327" s="461">
        <f t="shared" si="102"/>
        <v>53.44</v>
      </c>
      <c r="G327" s="461">
        <v>2.5</v>
      </c>
      <c r="H327" s="461"/>
      <c r="I327" s="461"/>
      <c r="J327" s="461"/>
      <c r="K327" s="461"/>
      <c r="L327" s="725"/>
      <c r="M327" s="463">
        <f t="shared" si="103"/>
        <v>133.6</v>
      </c>
      <c r="N327" s="463">
        <f t="shared" si="92"/>
        <v>13.36</v>
      </c>
      <c r="O327" s="463">
        <f t="shared" si="93"/>
        <v>35.14</v>
      </c>
      <c r="P327" s="463">
        <f t="shared" si="94"/>
        <v>399.46</v>
      </c>
      <c r="Q327" s="463">
        <f t="shared" si="95"/>
        <v>581.55999999999995</v>
      </c>
      <c r="R327" s="463">
        <f t="shared" si="96"/>
        <v>240.29</v>
      </c>
      <c r="S327" s="463">
        <f t="shared" si="97"/>
        <v>115.16</v>
      </c>
      <c r="T327" s="463">
        <f t="shared" si="104"/>
        <v>754.9</v>
      </c>
      <c r="U327" s="472"/>
      <c r="V327" s="472"/>
      <c r="W327" s="472"/>
      <c r="X327" s="574">
        <f t="shared" si="98"/>
        <v>581.55999999999995</v>
      </c>
      <c r="Y327" s="422" t="b">
        <f t="shared" si="99"/>
        <v>1</v>
      </c>
      <c r="Z327" s="574">
        <f t="shared" si="100"/>
        <v>937.01</v>
      </c>
      <c r="AA327" s="710">
        <f t="shared" si="101"/>
        <v>0.41</v>
      </c>
    </row>
    <row r="328" spans="1:27" ht="18" hidden="1" customHeight="1" outlineLevel="1" x14ac:dyDescent="0.25">
      <c r="A328" s="479" t="s">
        <v>813</v>
      </c>
      <c r="B328" s="422" t="s">
        <v>814</v>
      </c>
      <c r="C328" s="445" t="s">
        <v>45</v>
      </c>
      <c r="D328" s="475" t="s">
        <v>42</v>
      </c>
      <c r="E328" s="475" t="s">
        <v>54</v>
      </c>
      <c r="F328" s="461">
        <f t="shared" si="102"/>
        <v>53.44</v>
      </c>
      <c r="G328" s="461">
        <v>2</v>
      </c>
      <c r="H328" s="461"/>
      <c r="I328" s="461"/>
      <c r="J328" s="461"/>
      <c r="K328" s="461"/>
      <c r="L328" s="725"/>
      <c r="M328" s="463">
        <f t="shared" si="103"/>
        <v>106.88</v>
      </c>
      <c r="N328" s="463">
        <f t="shared" si="92"/>
        <v>10.69</v>
      </c>
      <c r="O328" s="463">
        <f t="shared" si="93"/>
        <v>28.11</v>
      </c>
      <c r="P328" s="463">
        <f t="shared" si="94"/>
        <v>319.57</v>
      </c>
      <c r="Q328" s="463">
        <f t="shared" si="95"/>
        <v>465.25</v>
      </c>
      <c r="R328" s="463">
        <f t="shared" si="96"/>
        <v>192.21</v>
      </c>
      <c r="S328" s="463">
        <f t="shared" si="97"/>
        <v>92.12</v>
      </c>
      <c r="T328" s="463">
        <f t="shared" si="104"/>
        <v>603.9</v>
      </c>
      <c r="U328" s="472"/>
      <c r="V328" s="472"/>
      <c r="W328" s="472"/>
      <c r="X328" s="574">
        <f t="shared" si="98"/>
        <v>465.25</v>
      </c>
      <c r="Y328" s="422" t="b">
        <f t="shared" si="99"/>
        <v>1</v>
      </c>
      <c r="Z328" s="574">
        <f t="shared" si="100"/>
        <v>749.58</v>
      </c>
      <c r="AA328" s="710">
        <f t="shared" si="101"/>
        <v>0.41</v>
      </c>
    </row>
    <row r="329" spans="1:27" ht="18" hidden="1" customHeight="1" outlineLevel="1" x14ac:dyDescent="0.25">
      <c r="A329" s="479" t="s">
        <v>815</v>
      </c>
      <c r="B329" s="422" t="s">
        <v>816</v>
      </c>
      <c r="C329" s="445" t="s">
        <v>45</v>
      </c>
      <c r="D329" s="475" t="s">
        <v>42</v>
      </c>
      <c r="E329" s="475" t="s">
        <v>54</v>
      </c>
      <c r="F329" s="461">
        <f t="shared" si="102"/>
        <v>53.44</v>
      </c>
      <c r="G329" s="461">
        <v>0.5</v>
      </c>
      <c r="H329" s="461"/>
      <c r="I329" s="461"/>
      <c r="J329" s="461"/>
      <c r="K329" s="461"/>
      <c r="L329" s="725"/>
      <c r="M329" s="463">
        <f t="shared" si="103"/>
        <v>26.72</v>
      </c>
      <c r="N329" s="463">
        <f>M329*10%+M330*10%</f>
        <v>18.7</v>
      </c>
      <c r="O329" s="463">
        <f>M329*26.3%+M330*26.3%</f>
        <v>49.19</v>
      </c>
      <c r="P329" s="463">
        <f>M329*299%+M330*299%</f>
        <v>559.25</v>
      </c>
      <c r="Q329" s="783">
        <f>M330+M329+N329+O329+P329</f>
        <v>814.18</v>
      </c>
      <c r="R329" s="463">
        <f t="shared" si="96"/>
        <v>336.34</v>
      </c>
      <c r="S329" s="463">
        <f t="shared" si="97"/>
        <v>161.21</v>
      </c>
      <c r="T329" s="463">
        <f t="shared" si="104"/>
        <v>1056.8</v>
      </c>
      <c r="U329" s="784"/>
      <c r="V329" s="784"/>
      <c r="W329" s="784"/>
      <c r="X329" s="574">
        <f>M329+N329+O329+P329+M330</f>
        <v>814.18</v>
      </c>
      <c r="Y329" s="422" t="b">
        <f t="shared" si="99"/>
        <v>1</v>
      </c>
      <c r="Z329" s="574">
        <f t="shared" si="100"/>
        <v>1311.73</v>
      </c>
      <c r="AA329" s="710">
        <f t="shared" si="101"/>
        <v>0.41</v>
      </c>
    </row>
    <row r="330" spans="1:27" ht="18" hidden="1" customHeight="1" outlineLevel="1" x14ac:dyDescent="0.25">
      <c r="A330" s="479" t="s">
        <v>817</v>
      </c>
      <c r="B330" s="422" t="s">
        <v>818</v>
      </c>
      <c r="C330" s="445" t="s">
        <v>45</v>
      </c>
      <c r="D330" s="475" t="s">
        <v>42</v>
      </c>
      <c r="E330" s="475" t="s">
        <v>54</v>
      </c>
      <c r="F330" s="461">
        <f t="shared" si="102"/>
        <v>53.44</v>
      </c>
      <c r="G330" s="461">
        <v>3</v>
      </c>
      <c r="H330" s="461"/>
      <c r="I330" s="461"/>
      <c r="J330" s="461"/>
      <c r="K330" s="461"/>
      <c r="L330" s="725"/>
      <c r="M330" s="463">
        <f t="shared" si="103"/>
        <v>160.32</v>
      </c>
      <c r="N330" s="463"/>
      <c r="O330" s="463"/>
      <c r="P330" s="463"/>
      <c r="Q330" s="785"/>
      <c r="R330" s="463">
        <f t="shared" si="96"/>
        <v>0</v>
      </c>
      <c r="S330" s="463">
        <f t="shared" si="97"/>
        <v>0</v>
      </c>
      <c r="T330" s="463">
        <f t="shared" si="104"/>
        <v>0</v>
      </c>
      <c r="U330" s="784"/>
      <c r="V330" s="784"/>
      <c r="W330" s="784"/>
      <c r="X330" s="574"/>
      <c r="Y330" s="422" t="b">
        <f t="shared" si="99"/>
        <v>1</v>
      </c>
      <c r="Z330" s="574">
        <f t="shared" si="100"/>
        <v>0</v>
      </c>
      <c r="AA330" s="710" t="e">
        <f t="shared" si="101"/>
        <v>#DIV/0!</v>
      </c>
    </row>
    <row r="331" spans="1:27" ht="12.75" hidden="1" customHeight="1" outlineLevel="1" x14ac:dyDescent="0.25">
      <c r="A331" s="479"/>
      <c r="C331" s="445"/>
      <c r="D331" s="475" t="s">
        <v>819</v>
      </c>
      <c r="E331" s="475" t="s">
        <v>1448</v>
      </c>
      <c r="F331" s="780">
        <f>'[13]Зарплата по Самаре'!AL42</f>
        <v>79.64</v>
      </c>
      <c r="G331" s="461">
        <v>1</v>
      </c>
      <c r="H331" s="461"/>
      <c r="I331" s="461"/>
      <c r="J331" s="461"/>
      <c r="K331" s="461"/>
      <c r="L331" s="725"/>
      <c r="M331" s="463">
        <f t="shared" si="103"/>
        <v>79.64</v>
      </c>
      <c r="N331" s="463">
        <f t="shared" ref="N331:N392" si="105">M331*10%</f>
        <v>7.96</v>
      </c>
      <c r="O331" s="463">
        <f t="shared" ref="O331:O392" si="106">M331*26.3%</f>
        <v>20.95</v>
      </c>
      <c r="P331" s="463">
        <f t="shared" ref="P331:P392" si="107">M331*299%</f>
        <v>238.12</v>
      </c>
      <c r="Q331" s="463">
        <f t="shared" ref="Q331:Q392" si="108">M331+N331+O331+P331</f>
        <v>346.67</v>
      </c>
      <c r="R331" s="463">
        <f t="shared" si="96"/>
        <v>-238.12</v>
      </c>
      <c r="S331" s="463">
        <f t="shared" si="97"/>
        <v>0</v>
      </c>
      <c r="T331" s="463"/>
      <c r="U331" s="784"/>
      <c r="V331" s="784"/>
      <c r="W331" s="784"/>
      <c r="X331" s="574">
        <f t="shared" ref="X331:X392" si="109">M331+N331+O331+P331</f>
        <v>346.67</v>
      </c>
      <c r="Y331" s="422" t="b">
        <f t="shared" si="99"/>
        <v>1</v>
      </c>
      <c r="Z331" s="574">
        <f t="shared" si="100"/>
        <v>108.55</v>
      </c>
      <c r="AA331" s="710">
        <f t="shared" si="101"/>
        <v>-0.69</v>
      </c>
    </row>
    <row r="332" spans="1:27" ht="18" hidden="1" customHeight="1" outlineLevel="1" x14ac:dyDescent="0.25">
      <c r="A332" s="479" t="s">
        <v>820</v>
      </c>
      <c r="B332" s="422" t="s">
        <v>821</v>
      </c>
      <c r="C332" s="445" t="s">
        <v>45</v>
      </c>
      <c r="D332" s="475" t="s">
        <v>42</v>
      </c>
      <c r="E332" s="475" t="s">
        <v>54</v>
      </c>
      <c r="F332" s="461">
        <f>$F$29</f>
        <v>53.44</v>
      </c>
      <c r="G332" s="461">
        <v>1.5</v>
      </c>
      <c r="H332" s="461"/>
      <c r="I332" s="461"/>
      <c r="J332" s="461"/>
      <c r="K332" s="461"/>
      <c r="L332" s="725"/>
      <c r="M332" s="463">
        <f t="shared" si="103"/>
        <v>80.16</v>
      </c>
      <c r="N332" s="463">
        <f t="shared" si="105"/>
        <v>8.02</v>
      </c>
      <c r="O332" s="463">
        <f t="shared" si="106"/>
        <v>21.08</v>
      </c>
      <c r="P332" s="463">
        <f t="shared" si="107"/>
        <v>239.68</v>
      </c>
      <c r="Q332" s="463">
        <f t="shared" si="108"/>
        <v>348.94</v>
      </c>
      <c r="R332" s="463">
        <f t="shared" si="96"/>
        <v>144.13</v>
      </c>
      <c r="S332" s="463">
        <f t="shared" si="97"/>
        <v>69.09</v>
      </c>
      <c r="T332" s="463">
        <f>ROUND(Q332*1.298,1)</f>
        <v>452.9</v>
      </c>
      <c r="U332" s="784"/>
      <c r="V332" s="784"/>
      <c r="W332" s="784"/>
      <c r="X332" s="574">
        <f t="shared" si="109"/>
        <v>348.94</v>
      </c>
      <c r="Y332" s="422" t="b">
        <f t="shared" si="99"/>
        <v>1</v>
      </c>
      <c r="Z332" s="574">
        <f t="shared" si="100"/>
        <v>562.16</v>
      </c>
      <c r="AA332" s="710">
        <f t="shared" si="101"/>
        <v>0.41</v>
      </c>
    </row>
    <row r="333" spans="1:27" ht="18" hidden="1" customHeight="1" outlineLevel="1" x14ac:dyDescent="0.25">
      <c r="A333" s="479" t="s">
        <v>822</v>
      </c>
      <c r="B333" s="422" t="s">
        <v>802</v>
      </c>
      <c r="C333" s="445" t="s">
        <v>45</v>
      </c>
      <c r="D333" s="475" t="s">
        <v>42</v>
      </c>
      <c r="E333" s="475" t="s">
        <v>54</v>
      </c>
      <c r="F333" s="461">
        <f>$F$29</f>
        <v>53.44</v>
      </c>
      <c r="G333" s="461">
        <v>0.35</v>
      </c>
      <c r="H333" s="461"/>
      <c r="I333" s="461"/>
      <c r="J333" s="461"/>
      <c r="K333" s="461"/>
      <c r="L333" s="725"/>
      <c r="M333" s="463">
        <f t="shared" si="103"/>
        <v>18.7</v>
      </c>
      <c r="N333" s="463">
        <f t="shared" si="105"/>
        <v>1.87</v>
      </c>
      <c r="O333" s="463">
        <f t="shared" si="106"/>
        <v>4.92</v>
      </c>
      <c r="P333" s="463">
        <f t="shared" si="107"/>
        <v>55.91</v>
      </c>
      <c r="Q333" s="463">
        <f t="shared" si="108"/>
        <v>81.400000000000006</v>
      </c>
      <c r="R333" s="463">
        <f t="shared" si="96"/>
        <v>33.67</v>
      </c>
      <c r="S333" s="463">
        <f t="shared" si="97"/>
        <v>16.12</v>
      </c>
      <c r="T333" s="463">
        <f>ROUND(Q333*1.298,1)</f>
        <v>105.7</v>
      </c>
      <c r="U333" s="784"/>
      <c r="V333" s="784"/>
      <c r="W333" s="784"/>
      <c r="X333" s="574">
        <f t="shared" si="109"/>
        <v>81.400000000000006</v>
      </c>
      <c r="Y333" s="422" t="b">
        <f t="shared" si="99"/>
        <v>1</v>
      </c>
      <c r="Z333" s="574">
        <f t="shared" si="100"/>
        <v>131.19</v>
      </c>
      <c r="AA333" s="710">
        <f t="shared" si="101"/>
        <v>0.41</v>
      </c>
    </row>
    <row r="334" spans="1:27" ht="18" hidden="1" customHeight="1" outlineLevel="1" x14ac:dyDescent="0.25">
      <c r="A334" s="479" t="s">
        <v>823</v>
      </c>
      <c r="B334" s="422" t="s">
        <v>824</v>
      </c>
      <c r="C334" s="445" t="s">
        <v>45</v>
      </c>
      <c r="D334" s="475" t="s">
        <v>42</v>
      </c>
      <c r="E334" s="475" t="s">
        <v>54</v>
      </c>
      <c r="F334" s="461">
        <f>$F$29</f>
        <v>53.44</v>
      </c>
      <c r="G334" s="461">
        <v>0.33</v>
      </c>
      <c r="H334" s="461"/>
      <c r="I334" s="461"/>
      <c r="J334" s="461"/>
      <c r="K334" s="461"/>
      <c r="L334" s="725"/>
      <c r="M334" s="463">
        <f t="shared" si="103"/>
        <v>17.64</v>
      </c>
      <c r="N334" s="463">
        <f t="shared" si="105"/>
        <v>1.76</v>
      </c>
      <c r="O334" s="463">
        <f t="shared" si="106"/>
        <v>4.6399999999999997</v>
      </c>
      <c r="P334" s="463">
        <f t="shared" si="107"/>
        <v>52.74</v>
      </c>
      <c r="Q334" s="463">
        <f t="shared" si="108"/>
        <v>76.78</v>
      </c>
      <c r="R334" s="463">
        <f t="shared" si="96"/>
        <v>31.75</v>
      </c>
      <c r="S334" s="463">
        <f t="shared" si="97"/>
        <v>15.21</v>
      </c>
      <c r="T334" s="463">
        <f>ROUND(Q334*1.298,1)</f>
        <v>99.7</v>
      </c>
      <c r="U334" s="784"/>
      <c r="V334" s="784"/>
      <c r="W334" s="784"/>
      <c r="X334" s="574">
        <f t="shared" si="109"/>
        <v>76.78</v>
      </c>
      <c r="Y334" s="422" t="b">
        <f t="shared" si="99"/>
        <v>1</v>
      </c>
      <c r="Z334" s="574">
        <f t="shared" si="100"/>
        <v>123.74</v>
      </c>
      <c r="AA334" s="710">
        <f t="shared" si="101"/>
        <v>0.41</v>
      </c>
    </row>
    <row r="335" spans="1:27" ht="18" hidden="1" customHeight="1" outlineLevel="1" x14ac:dyDescent="0.25">
      <c r="A335" s="479" t="s">
        <v>825</v>
      </c>
      <c r="B335" s="422" t="s">
        <v>826</v>
      </c>
      <c r="C335" s="445" t="s">
        <v>45</v>
      </c>
      <c r="D335" s="475" t="s">
        <v>42</v>
      </c>
      <c r="E335" s="475" t="s">
        <v>54</v>
      </c>
      <c r="F335" s="461">
        <f>$F$29</f>
        <v>53.44</v>
      </c>
      <c r="G335" s="461">
        <v>2.5</v>
      </c>
      <c r="H335" s="461"/>
      <c r="I335" s="461"/>
      <c r="J335" s="461"/>
      <c r="K335" s="461"/>
      <c r="L335" s="725"/>
      <c r="M335" s="463">
        <f t="shared" si="103"/>
        <v>133.6</v>
      </c>
      <c r="N335" s="463">
        <f t="shared" si="105"/>
        <v>13.36</v>
      </c>
      <c r="O335" s="463">
        <f t="shared" si="106"/>
        <v>35.14</v>
      </c>
      <c r="P335" s="463">
        <f t="shared" si="107"/>
        <v>399.46</v>
      </c>
      <c r="Q335" s="463">
        <f t="shared" si="108"/>
        <v>581.55999999999995</v>
      </c>
      <c r="R335" s="463">
        <f t="shared" si="96"/>
        <v>240.29</v>
      </c>
      <c r="S335" s="463">
        <f t="shared" si="97"/>
        <v>115.16</v>
      </c>
      <c r="T335" s="463">
        <f>ROUND(Q335*1.298,1)</f>
        <v>754.9</v>
      </c>
      <c r="U335" s="784"/>
      <c r="V335" s="784"/>
      <c r="W335" s="784"/>
      <c r="X335" s="574">
        <f t="shared" si="109"/>
        <v>581.55999999999995</v>
      </c>
      <c r="Y335" s="422" t="b">
        <f t="shared" si="99"/>
        <v>1</v>
      </c>
      <c r="Z335" s="574">
        <f t="shared" si="100"/>
        <v>937.01</v>
      </c>
      <c r="AA335" s="710">
        <f t="shared" si="101"/>
        <v>0.41</v>
      </c>
    </row>
    <row r="336" spans="1:27" s="776" customFormat="1" ht="17.25" hidden="1" customHeight="1" outlineLevel="1" x14ac:dyDescent="0.25">
      <c r="A336" s="775"/>
      <c r="B336" s="776" t="s">
        <v>1449</v>
      </c>
      <c r="C336" s="777"/>
      <c r="D336" s="778"/>
      <c r="E336" s="778"/>
      <c r="F336" s="779">
        <f>F335</f>
        <v>53.44</v>
      </c>
      <c r="G336" s="779">
        <f>SUM(G269:G335)/(197-136+1)</f>
        <v>1.07</v>
      </c>
      <c r="H336" s="779"/>
      <c r="I336" s="779"/>
      <c r="J336" s="779"/>
      <c r="K336" s="779"/>
      <c r="L336" s="779"/>
      <c r="M336" s="780">
        <f t="shared" si="103"/>
        <v>57.18</v>
      </c>
      <c r="N336" s="463">
        <f t="shared" si="105"/>
        <v>5.72</v>
      </c>
      <c r="O336" s="463">
        <f t="shared" si="106"/>
        <v>15.04</v>
      </c>
      <c r="P336" s="463">
        <f t="shared" si="107"/>
        <v>170.97</v>
      </c>
      <c r="Q336" s="463">
        <f t="shared" si="108"/>
        <v>248.91</v>
      </c>
      <c r="R336" s="463">
        <f t="shared" si="96"/>
        <v>102.84</v>
      </c>
      <c r="S336" s="463">
        <f t="shared" si="97"/>
        <v>49.29</v>
      </c>
      <c r="T336" s="780">
        <f>ROUND(Q336*1.298,1)</f>
        <v>323.10000000000002</v>
      </c>
      <c r="U336" s="784"/>
      <c r="V336" s="784"/>
      <c r="W336" s="784"/>
      <c r="X336" s="574">
        <f t="shared" si="109"/>
        <v>248.91</v>
      </c>
      <c r="Y336" s="422" t="b">
        <f t="shared" si="99"/>
        <v>1</v>
      </c>
      <c r="Z336" s="574">
        <f t="shared" si="100"/>
        <v>401.04</v>
      </c>
      <c r="AA336" s="710">
        <f t="shared" si="101"/>
        <v>0.41</v>
      </c>
    </row>
    <row r="337" spans="1:27" ht="15.75" hidden="1" customHeight="1" outlineLevel="1" x14ac:dyDescent="0.25">
      <c r="A337" s="786" t="s">
        <v>827</v>
      </c>
      <c r="B337" s="427"/>
      <c r="C337" s="445"/>
      <c r="D337" s="475"/>
      <c r="E337" s="475"/>
      <c r="F337" s="461"/>
      <c r="G337" s="461"/>
      <c r="H337" s="461"/>
      <c r="I337" s="461"/>
      <c r="J337" s="461"/>
      <c r="K337" s="461"/>
      <c r="L337" s="725"/>
      <c r="M337" s="463"/>
      <c r="N337" s="463">
        <f t="shared" si="105"/>
        <v>0</v>
      </c>
      <c r="O337" s="463">
        <f t="shared" si="106"/>
        <v>0</v>
      </c>
      <c r="P337" s="463">
        <f t="shared" si="107"/>
        <v>0</v>
      </c>
      <c r="Q337" s="463">
        <f t="shared" si="108"/>
        <v>0</v>
      </c>
      <c r="R337" s="463">
        <f t="shared" si="96"/>
        <v>0</v>
      </c>
      <c r="S337" s="463">
        <f t="shared" si="97"/>
        <v>0</v>
      </c>
      <c r="T337" s="463"/>
      <c r="U337" s="784"/>
      <c r="V337" s="784"/>
      <c r="W337" s="784"/>
      <c r="X337" s="574">
        <f t="shared" si="109"/>
        <v>0</v>
      </c>
      <c r="Y337" s="422" t="b">
        <f t="shared" si="99"/>
        <v>1</v>
      </c>
      <c r="Z337" s="574">
        <f t="shared" si="100"/>
        <v>0</v>
      </c>
      <c r="AA337" s="710" t="e">
        <f t="shared" si="101"/>
        <v>#DIV/0!</v>
      </c>
    </row>
    <row r="338" spans="1:27" ht="18.75" hidden="1" customHeight="1" outlineLevel="1" x14ac:dyDescent="0.25">
      <c r="A338" s="479" t="s">
        <v>828</v>
      </c>
      <c r="B338" s="422" t="s">
        <v>829</v>
      </c>
      <c r="C338" s="445" t="s">
        <v>436</v>
      </c>
      <c r="D338" s="475" t="s">
        <v>830</v>
      </c>
      <c r="E338" s="475" t="s">
        <v>54</v>
      </c>
      <c r="F338" s="461">
        <f>$F$29</f>
        <v>53.44</v>
      </c>
      <c r="G338" s="461">
        <v>1</v>
      </c>
      <c r="H338" s="461"/>
      <c r="I338" s="461"/>
      <c r="J338" s="461"/>
      <c r="K338" s="461"/>
      <c r="L338" s="725"/>
      <c r="M338" s="463">
        <f>F338*G338</f>
        <v>53.44</v>
      </c>
      <c r="N338" s="463">
        <f t="shared" si="105"/>
        <v>5.34</v>
      </c>
      <c r="O338" s="463">
        <f t="shared" si="106"/>
        <v>14.05</v>
      </c>
      <c r="P338" s="463">
        <f t="shared" si="107"/>
        <v>159.79</v>
      </c>
      <c r="Q338" s="463">
        <f t="shared" si="108"/>
        <v>232.62</v>
      </c>
      <c r="R338" s="463">
        <f t="shared" si="96"/>
        <v>96.06</v>
      </c>
      <c r="S338" s="463">
        <f t="shared" si="97"/>
        <v>46.05</v>
      </c>
      <c r="T338" s="463">
        <f>ROUND(Q338*1.298,1)</f>
        <v>301.89999999999998</v>
      </c>
      <c r="U338" s="784"/>
      <c r="V338" s="784"/>
      <c r="W338" s="784"/>
      <c r="X338" s="574">
        <f t="shared" si="109"/>
        <v>232.62</v>
      </c>
      <c r="Y338" s="422" t="b">
        <f t="shared" si="99"/>
        <v>1</v>
      </c>
      <c r="Z338" s="574">
        <f t="shared" si="100"/>
        <v>374.73</v>
      </c>
      <c r="AA338" s="710">
        <f t="shared" si="101"/>
        <v>0.41</v>
      </c>
    </row>
    <row r="339" spans="1:27" ht="15.75" hidden="1" customHeight="1" outlineLevel="1" x14ac:dyDescent="0.25">
      <c r="A339" s="479" t="s">
        <v>831</v>
      </c>
      <c r="B339" s="422" t="s">
        <v>832</v>
      </c>
      <c r="C339" s="445" t="s">
        <v>45</v>
      </c>
      <c r="D339" s="475" t="s">
        <v>830</v>
      </c>
      <c r="E339" s="475" t="s">
        <v>54</v>
      </c>
      <c r="F339" s="461">
        <f>$F$29</f>
        <v>53.44</v>
      </c>
      <c r="G339" s="461">
        <v>0.95</v>
      </c>
      <c r="H339" s="461"/>
      <c r="I339" s="461"/>
      <c r="J339" s="461"/>
      <c r="K339" s="461"/>
      <c r="L339" s="725"/>
      <c r="M339" s="463">
        <f>F339*G339</f>
        <v>50.77</v>
      </c>
      <c r="N339" s="463">
        <f t="shared" si="105"/>
        <v>5.08</v>
      </c>
      <c r="O339" s="463">
        <f t="shared" si="106"/>
        <v>13.35</v>
      </c>
      <c r="P339" s="463">
        <f t="shared" si="107"/>
        <v>151.80000000000001</v>
      </c>
      <c r="Q339" s="463">
        <f t="shared" si="108"/>
        <v>221</v>
      </c>
      <c r="R339" s="463">
        <f t="shared" si="96"/>
        <v>91.34</v>
      </c>
      <c r="S339" s="463">
        <f t="shared" si="97"/>
        <v>43.77</v>
      </c>
      <c r="T339" s="463">
        <f>ROUND(Q339*1.298,1)</f>
        <v>286.89999999999998</v>
      </c>
      <c r="U339" s="784"/>
      <c r="V339" s="784"/>
      <c r="W339" s="784"/>
      <c r="X339" s="574">
        <f t="shared" si="109"/>
        <v>221</v>
      </c>
      <c r="Y339" s="422" t="b">
        <f t="shared" si="99"/>
        <v>1</v>
      </c>
      <c r="Z339" s="574">
        <f t="shared" si="100"/>
        <v>356.11</v>
      </c>
      <c r="AA339" s="710">
        <f t="shared" si="101"/>
        <v>0.41</v>
      </c>
    </row>
    <row r="340" spans="1:27" ht="15.75" hidden="1" customHeight="1" outlineLevel="1" x14ac:dyDescent="0.25">
      <c r="A340" s="479" t="s">
        <v>833</v>
      </c>
      <c r="B340" s="422" t="s">
        <v>834</v>
      </c>
      <c r="C340" s="445"/>
      <c r="D340" s="475"/>
      <c r="E340" s="475"/>
      <c r="F340" s="461"/>
      <c r="G340" s="461"/>
      <c r="H340" s="461"/>
      <c r="I340" s="461"/>
      <c r="J340" s="461"/>
      <c r="K340" s="461"/>
      <c r="L340" s="725"/>
      <c r="M340" s="463"/>
      <c r="N340" s="463">
        <f t="shared" si="105"/>
        <v>0</v>
      </c>
      <c r="O340" s="463">
        <f t="shared" si="106"/>
        <v>0</v>
      </c>
      <c r="P340" s="463">
        <f t="shared" si="107"/>
        <v>0</v>
      </c>
      <c r="Q340" s="463">
        <f t="shared" si="108"/>
        <v>0</v>
      </c>
      <c r="R340" s="463">
        <f t="shared" si="96"/>
        <v>0</v>
      </c>
      <c r="S340" s="463">
        <f t="shared" si="97"/>
        <v>0</v>
      </c>
      <c r="T340" s="773"/>
      <c r="U340" s="784"/>
      <c r="V340" s="784"/>
      <c r="W340" s="784"/>
      <c r="X340" s="574">
        <f t="shared" si="109"/>
        <v>0</v>
      </c>
      <c r="Y340" s="422" t="b">
        <f t="shared" si="99"/>
        <v>1</v>
      </c>
      <c r="Z340" s="574">
        <f t="shared" si="100"/>
        <v>0</v>
      </c>
      <c r="AA340" s="710" t="e">
        <f t="shared" si="101"/>
        <v>#DIV/0!</v>
      </c>
    </row>
    <row r="341" spans="1:27" ht="14.25" hidden="1" customHeight="1" outlineLevel="1" x14ac:dyDescent="0.25">
      <c r="A341" s="479"/>
      <c r="B341" s="422" t="s">
        <v>835</v>
      </c>
      <c r="C341" s="445" t="s">
        <v>45</v>
      </c>
      <c r="D341" s="475" t="s">
        <v>830</v>
      </c>
      <c r="E341" s="475" t="s">
        <v>54</v>
      </c>
      <c r="F341" s="461">
        <f>$F$29</f>
        <v>53.44</v>
      </c>
      <c r="G341" s="461">
        <v>2.5</v>
      </c>
      <c r="H341" s="461"/>
      <c r="I341" s="461"/>
      <c r="J341" s="461"/>
      <c r="K341" s="461"/>
      <c r="L341" s="725"/>
      <c r="M341" s="463">
        <f>F341*G341</f>
        <v>133.6</v>
      </c>
      <c r="N341" s="463">
        <f t="shared" si="105"/>
        <v>13.36</v>
      </c>
      <c r="O341" s="463">
        <f t="shared" si="106"/>
        <v>35.14</v>
      </c>
      <c r="P341" s="463">
        <f t="shared" si="107"/>
        <v>399.46</v>
      </c>
      <c r="Q341" s="463">
        <f t="shared" si="108"/>
        <v>581.55999999999995</v>
      </c>
      <c r="R341" s="463">
        <f t="shared" si="96"/>
        <v>240.29</v>
      </c>
      <c r="S341" s="463">
        <f t="shared" si="97"/>
        <v>115.16</v>
      </c>
      <c r="T341" s="463">
        <f>ROUND(Q341*1.298,1)</f>
        <v>754.9</v>
      </c>
      <c r="U341" s="784"/>
      <c r="V341" s="784"/>
      <c r="W341" s="784"/>
      <c r="X341" s="574">
        <f t="shared" si="109"/>
        <v>581.55999999999995</v>
      </c>
      <c r="Y341" s="422" t="b">
        <f t="shared" si="99"/>
        <v>1</v>
      </c>
      <c r="Z341" s="574">
        <f t="shared" si="100"/>
        <v>937.01</v>
      </c>
      <c r="AA341" s="710">
        <f t="shared" si="101"/>
        <v>0.41</v>
      </c>
    </row>
    <row r="342" spans="1:27" ht="18" hidden="1" customHeight="1" outlineLevel="1" x14ac:dyDescent="0.25">
      <c r="A342" s="479" t="s">
        <v>836</v>
      </c>
      <c r="B342" s="498" t="s">
        <v>837</v>
      </c>
      <c r="C342" s="445" t="s">
        <v>436</v>
      </c>
      <c r="D342" s="475" t="s">
        <v>830</v>
      </c>
      <c r="E342" s="475" t="s">
        <v>54</v>
      </c>
      <c r="F342" s="461">
        <f>$F$29</f>
        <v>53.44</v>
      </c>
      <c r="G342" s="461">
        <v>2.2000000000000002</v>
      </c>
      <c r="H342" s="461"/>
      <c r="I342" s="461"/>
      <c r="J342" s="461"/>
      <c r="K342" s="461"/>
      <c r="L342" s="725"/>
      <c r="M342" s="463">
        <f>F342*G342</f>
        <v>117.57</v>
      </c>
      <c r="N342" s="463">
        <f t="shared" si="105"/>
        <v>11.76</v>
      </c>
      <c r="O342" s="463">
        <f t="shared" si="106"/>
        <v>30.92</v>
      </c>
      <c r="P342" s="463">
        <f t="shared" si="107"/>
        <v>351.53</v>
      </c>
      <c r="Q342" s="463">
        <f t="shared" si="108"/>
        <v>511.78</v>
      </c>
      <c r="R342" s="463">
        <f t="shared" si="96"/>
        <v>211.44</v>
      </c>
      <c r="S342" s="463">
        <f t="shared" si="97"/>
        <v>101.33</v>
      </c>
      <c r="T342" s="463">
        <f>ROUND(Q342*1.298,1)</f>
        <v>664.3</v>
      </c>
      <c r="U342" s="784"/>
      <c r="V342" s="784"/>
      <c r="W342" s="784"/>
      <c r="X342" s="574">
        <f t="shared" si="109"/>
        <v>511.78</v>
      </c>
      <c r="Y342" s="422" t="b">
        <f t="shared" si="99"/>
        <v>1</v>
      </c>
      <c r="Z342" s="574">
        <f t="shared" si="100"/>
        <v>824.55</v>
      </c>
      <c r="AA342" s="710">
        <f t="shared" si="101"/>
        <v>0.41</v>
      </c>
    </row>
    <row r="343" spans="1:27" ht="18" hidden="1" customHeight="1" outlineLevel="1" x14ac:dyDescent="0.25">
      <c r="A343" s="479" t="s">
        <v>838</v>
      </c>
      <c r="B343" s="422" t="s">
        <v>839</v>
      </c>
      <c r="C343" s="445" t="s">
        <v>45</v>
      </c>
      <c r="D343" s="475" t="s">
        <v>830</v>
      </c>
      <c r="E343" s="475" t="s">
        <v>54</v>
      </c>
      <c r="F343" s="461">
        <f>$F$29</f>
        <v>53.44</v>
      </c>
      <c r="G343" s="461">
        <v>0.85</v>
      </c>
      <c r="H343" s="461"/>
      <c r="I343" s="461"/>
      <c r="J343" s="461"/>
      <c r="K343" s="461"/>
      <c r="L343" s="725"/>
      <c r="M343" s="463">
        <f>F343*G343</f>
        <v>45.42</v>
      </c>
      <c r="N343" s="463">
        <f t="shared" si="105"/>
        <v>4.54</v>
      </c>
      <c r="O343" s="463">
        <f t="shared" si="106"/>
        <v>11.95</v>
      </c>
      <c r="P343" s="463">
        <f t="shared" si="107"/>
        <v>135.81</v>
      </c>
      <c r="Q343" s="463">
        <f t="shared" si="108"/>
        <v>197.72</v>
      </c>
      <c r="R343" s="463">
        <f t="shared" si="96"/>
        <v>81.650000000000006</v>
      </c>
      <c r="S343" s="463">
        <f t="shared" si="97"/>
        <v>39.14</v>
      </c>
      <c r="T343" s="463">
        <f>ROUND(Q343*1.298,1)</f>
        <v>256.60000000000002</v>
      </c>
      <c r="U343" s="784"/>
      <c r="V343" s="784"/>
      <c r="W343" s="784"/>
      <c r="X343" s="574">
        <f t="shared" si="109"/>
        <v>197.72</v>
      </c>
      <c r="Y343" s="422" t="b">
        <f t="shared" si="99"/>
        <v>1</v>
      </c>
      <c r="Z343" s="574">
        <f t="shared" si="100"/>
        <v>318.51</v>
      </c>
      <c r="AA343" s="710">
        <f t="shared" si="101"/>
        <v>0.41</v>
      </c>
    </row>
    <row r="344" spans="1:27" ht="18" hidden="1" customHeight="1" outlineLevel="1" x14ac:dyDescent="0.25">
      <c r="A344" s="479" t="s">
        <v>840</v>
      </c>
      <c r="B344" s="422" t="s">
        <v>841</v>
      </c>
      <c r="C344" s="445" t="s">
        <v>45</v>
      </c>
      <c r="D344" s="475" t="s">
        <v>830</v>
      </c>
      <c r="E344" s="475" t="s">
        <v>54</v>
      </c>
      <c r="F344" s="461">
        <f>$F$29</f>
        <v>53.44</v>
      </c>
      <c r="G344" s="461">
        <v>2.95</v>
      </c>
      <c r="H344" s="461"/>
      <c r="I344" s="461"/>
      <c r="J344" s="461"/>
      <c r="K344" s="461"/>
      <c r="L344" s="725"/>
      <c r="M344" s="463">
        <f>F344*G344</f>
        <v>157.65</v>
      </c>
      <c r="N344" s="463">
        <f t="shared" si="105"/>
        <v>15.77</v>
      </c>
      <c r="O344" s="463">
        <f t="shared" si="106"/>
        <v>41.46</v>
      </c>
      <c r="P344" s="463">
        <f t="shared" si="107"/>
        <v>471.37</v>
      </c>
      <c r="Q344" s="463">
        <f t="shared" si="108"/>
        <v>686.25</v>
      </c>
      <c r="R344" s="463">
        <f t="shared" si="96"/>
        <v>283.55</v>
      </c>
      <c r="S344" s="463">
        <f t="shared" si="97"/>
        <v>135.88999999999999</v>
      </c>
      <c r="T344" s="463">
        <f>ROUND(Q344*1.298,1)</f>
        <v>890.8</v>
      </c>
      <c r="U344" s="784"/>
      <c r="V344" s="784"/>
      <c r="W344" s="784"/>
      <c r="X344" s="574">
        <f t="shared" si="109"/>
        <v>686.25</v>
      </c>
      <c r="Y344" s="422" t="b">
        <f t="shared" si="99"/>
        <v>1</v>
      </c>
      <c r="Z344" s="574">
        <f t="shared" si="100"/>
        <v>1105.69</v>
      </c>
      <c r="AA344" s="710">
        <f t="shared" si="101"/>
        <v>0.41</v>
      </c>
    </row>
    <row r="345" spans="1:27" ht="18" hidden="1" customHeight="1" outlineLevel="1" x14ac:dyDescent="0.25">
      <c r="A345" s="479" t="s">
        <v>842</v>
      </c>
      <c r="B345" s="422" t="s">
        <v>837</v>
      </c>
      <c r="C345" s="445" t="s">
        <v>45</v>
      </c>
      <c r="D345" s="475" t="s">
        <v>830</v>
      </c>
      <c r="E345" s="475" t="s">
        <v>54</v>
      </c>
      <c r="F345" s="461">
        <f>$F$29</f>
        <v>53.44</v>
      </c>
      <c r="G345" s="461">
        <v>2.7</v>
      </c>
      <c r="H345" s="461"/>
      <c r="I345" s="461"/>
      <c r="J345" s="461"/>
      <c r="K345" s="461"/>
      <c r="L345" s="725"/>
      <c r="M345" s="463">
        <f>F345*G345</f>
        <v>144.29</v>
      </c>
      <c r="N345" s="463">
        <f t="shared" si="105"/>
        <v>14.43</v>
      </c>
      <c r="O345" s="463">
        <f t="shared" si="106"/>
        <v>37.950000000000003</v>
      </c>
      <c r="P345" s="463">
        <f t="shared" si="107"/>
        <v>431.43</v>
      </c>
      <c r="Q345" s="463">
        <f t="shared" si="108"/>
        <v>628.1</v>
      </c>
      <c r="R345" s="463">
        <f t="shared" si="96"/>
        <v>259.5</v>
      </c>
      <c r="S345" s="463">
        <f t="shared" si="97"/>
        <v>124.37</v>
      </c>
      <c r="T345" s="463">
        <f>ROUND(Q345*1.298,1)</f>
        <v>815.3</v>
      </c>
      <c r="U345" s="784"/>
      <c r="V345" s="784"/>
      <c r="W345" s="784"/>
      <c r="X345" s="574">
        <f t="shared" si="109"/>
        <v>628.1</v>
      </c>
      <c r="Y345" s="422" t="b">
        <f t="shared" si="99"/>
        <v>1</v>
      </c>
      <c r="Z345" s="574">
        <f t="shared" si="100"/>
        <v>1011.97</v>
      </c>
      <c r="AA345" s="710">
        <f t="shared" si="101"/>
        <v>0.41</v>
      </c>
    </row>
    <row r="346" spans="1:27" ht="18" hidden="1" customHeight="1" outlineLevel="1" x14ac:dyDescent="0.25">
      <c r="A346" s="479" t="s">
        <v>843</v>
      </c>
      <c r="B346" s="422" t="s">
        <v>844</v>
      </c>
      <c r="C346" s="445"/>
      <c r="D346" s="475"/>
      <c r="E346" s="475"/>
      <c r="F346" s="461"/>
      <c r="G346" s="461"/>
      <c r="H346" s="461"/>
      <c r="I346" s="461"/>
      <c r="J346" s="461"/>
      <c r="K346" s="461"/>
      <c r="L346" s="725"/>
      <c r="M346" s="463"/>
      <c r="N346" s="463">
        <f t="shared" si="105"/>
        <v>0</v>
      </c>
      <c r="O346" s="463">
        <f t="shared" si="106"/>
        <v>0</v>
      </c>
      <c r="P346" s="463">
        <f t="shared" si="107"/>
        <v>0</v>
      </c>
      <c r="Q346" s="463">
        <f t="shared" si="108"/>
        <v>0</v>
      </c>
      <c r="R346" s="463">
        <f t="shared" si="96"/>
        <v>0</v>
      </c>
      <c r="S346" s="463">
        <f t="shared" si="97"/>
        <v>0</v>
      </c>
      <c r="T346" s="463"/>
      <c r="U346" s="784"/>
      <c r="V346" s="784"/>
      <c r="W346" s="784"/>
      <c r="X346" s="574">
        <f t="shared" si="109"/>
        <v>0</v>
      </c>
      <c r="Y346" s="422" t="b">
        <f t="shared" si="99"/>
        <v>1</v>
      </c>
      <c r="Z346" s="574">
        <f t="shared" si="100"/>
        <v>0</v>
      </c>
      <c r="AA346" s="710" t="e">
        <f t="shared" si="101"/>
        <v>#DIV/0!</v>
      </c>
    </row>
    <row r="347" spans="1:27" ht="14.25" hidden="1" customHeight="1" outlineLevel="1" x14ac:dyDescent="0.25">
      <c r="A347" s="479"/>
      <c r="B347" s="422" t="s">
        <v>845</v>
      </c>
      <c r="C347" s="445" t="s">
        <v>45</v>
      </c>
      <c r="D347" s="475" t="s">
        <v>830</v>
      </c>
      <c r="E347" s="475" t="s">
        <v>54</v>
      </c>
      <c r="F347" s="461">
        <f>$F$29</f>
        <v>53.44</v>
      </c>
      <c r="G347" s="461">
        <v>2.7</v>
      </c>
      <c r="H347" s="461"/>
      <c r="I347" s="461"/>
      <c r="J347" s="461"/>
      <c r="K347" s="461"/>
      <c r="L347" s="725"/>
      <c r="M347" s="463">
        <f>F347*G347</f>
        <v>144.29</v>
      </c>
      <c r="N347" s="463">
        <f t="shared" si="105"/>
        <v>14.43</v>
      </c>
      <c r="O347" s="463">
        <f t="shared" si="106"/>
        <v>37.950000000000003</v>
      </c>
      <c r="P347" s="463">
        <f t="shared" si="107"/>
        <v>431.43</v>
      </c>
      <c r="Q347" s="463">
        <f t="shared" si="108"/>
        <v>628.1</v>
      </c>
      <c r="R347" s="463">
        <f t="shared" si="96"/>
        <v>259.5</v>
      </c>
      <c r="S347" s="463">
        <f t="shared" si="97"/>
        <v>124.37</v>
      </c>
      <c r="T347" s="463">
        <f>ROUND(Q347*1.298,1)</f>
        <v>815.3</v>
      </c>
      <c r="U347" s="784"/>
      <c r="V347" s="784"/>
      <c r="W347" s="784"/>
      <c r="X347" s="574">
        <f t="shared" si="109"/>
        <v>628.1</v>
      </c>
      <c r="Y347" s="422" t="b">
        <f t="shared" si="99"/>
        <v>1</v>
      </c>
      <c r="Z347" s="574">
        <f t="shared" si="100"/>
        <v>1011.97</v>
      </c>
      <c r="AA347" s="710">
        <f t="shared" si="101"/>
        <v>0.41</v>
      </c>
    </row>
    <row r="348" spans="1:27" ht="15.75" hidden="1" customHeight="1" outlineLevel="1" x14ac:dyDescent="0.25">
      <c r="A348" s="479" t="s">
        <v>846</v>
      </c>
      <c r="B348" s="422" t="s">
        <v>837</v>
      </c>
      <c r="C348" s="445" t="s">
        <v>45</v>
      </c>
      <c r="D348" s="475" t="s">
        <v>830</v>
      </c>
      <c r="E348" s="475" t="s">
        <v>54</v>
      </c>
      <c r="F348" s="461">
        <f>$F$29</f>
        <v>53.44</v>
      </c>
      <c r="G348" s="461">
        <v>2.2000000000000002</v>
      </c>
      <c r="H348" s="461"/>
      <c r="I348" s="461"/>
      <c r="J348" s="461"/>
      <c r="K348" s="461"/>
      <c r="L348" s="725"/>
      <c r="M348" s="463">
        <f>F348*G348</f>
        <v>117.57</v>
      </c>
      <c r="N348" s="463">
        <f t="shared" si="105"/>
        <v>11.76</v>
      </c>
      <c r="O348" s="463">
        <f t="shared" si="106"/>
        <v>30.92</v>
      </c>
      <c r="P348" s="463">
        <f t="shared" si="107"/>
        <v>351.53</v>
      </c>
      <c r="Q348" s="463">
        <f t="shared" si="108"/>
        <v>511.78</v>
      </c>
      <c r="R348" s="463">
        <f t="shared" si="96"/>
        <v>211.44</v>
      </c>
      <c r="S348" s="463">
        <f t="shared" si="97"/>
        <v>101.33</v>
      </c>
      <c r="T348" s="463">
        <f>ROUND(Q348*1.298,1)</f>
        <v>664.3</v>
      </c>
      <c r="U348" s="784"/>
      <c r="V348" s="784"/>
      <c r="W348" s="784"/>
      <c r="X348" s="574">
        <f t="shared" si="109"/>
        <v>511.78</v>
      </c>
      <c r="Y348" s="422" t="b">
        <f t="shared" si="99"/>
        <v>1</v>
      </c>
      <c r="Z348" s="574">
        <f t="shared" si="100"/>
        <v>824.55</v>
      </c>
      <c r="AA348" s="710">
        <f t="shared" si="101"/>
        <v>0.41</v>
      </c>
    </row>
    <row r="349" spans="1:27" s="776" customFormat="1" ht="17.25" hidden="1" customHeight="1" outlineLevel="1" x14ac:dyDescent="0.25">
      <c r="A349" s="775"/>
      <c r="B349" s="776" t="s">
        <v>1450</v>
      </c>
      <c r="C349" s="777"/>
      <c r="D349" s="778"/>
      <c r="E349" s="778"/>
      <c r="F349" s="779">
        <f>F348</f>
        <v>53.44</v>
      </c>
      <c r="G349" s="779">
        <f>SUM(G338:G348)/(206-198+1)</f>
        <v>2.0099999999999998</v>
      </c>
      <c r="H349" s="779"/>
      <c r="I349" s="779"/>
      <c r="J349" s="779"/>
      <c r="K349" s="779"/>
      <c r="L349" s="779"/>
      <c r="M349" s="780">
        <f>F349*G349</f>
        <v>107.41</v>
      </c>
      <c r="N349" s="463">
        <f t="shared" si="105"/>
        <v>10.74</v>
      </c>
      <c r="O349" s="463">
        <f t="shared" si="106"/>
        <v>28.25</v>
      </c>
      <c r="P349" s="463">
        <f t="shared" si="107"/>
        <v>321.16000000000003</v>
      </c>
      <c r="Q349" s="463">
        <f t="shared" si="108"/>
        <v>467.56</v>
      </c>
      <c r="R349" s="463">
        <f t="shared" si="96"/>
        <v>193.16</v>
      </c>
      <c r="S349" s="463">
        <f t="shared" si="97"/>
        <v>92.58</v>
      </c>
      <c r="T349" s="780">
        <f>ROUND(Q349*1.298,1)</f>
        <v>606.9</v>
      </c>
      <c r="U349" s="784"/>
      <c r="V349" s="784"/>
      <c r="W349" s="784"/>
      <c r="X349" s="574">
        <f t="shared" si="109"/>
        <v>467.56</v>
      </c>
      <c r="Y349" s="422" t="b">
        <f t="shared" si="99"/>
        <v>1</v>
      </c>
      <c r="Z349" s="574">
        <f t="shared" si="100"/>
        <v>753.3</v>
      </c>
      <c r="AA349" s="710">
        <f t="shared" si="101"/>
        <v>0.41</v>
      </c>
    </row>
    <row r="350" spans="1:27" ht="21" hidden="1" customHeight="1" outlineLevel="1" x14ac:dyDescent="0.3">
      <c r="A350" s="782" t="s">
        <v>847</v>
      </c>
      <c r="B350" s="499"/>
      <c r="C350" s="445"/>
      <c r="D350" s="475"/>
      <c r="E350" s="475"/>
      <c r="F350" s="461"/>
      <c r="G350" s="461"/>
      <c r="H350" s="461"/>
      <c r="I350" s="461"/>
      <c r="J350" s="461"/>
      <c r="K350" s="461"/>
      <c r="L350" s="725"/>
      <c r="M350" s="463"/>
      <c r="N350" s="463">
        <f t="shared" si="105"/>
        <v>0</v>
      </c>
      <c r="O350" s="463">
        <f t="shared" si="106"/>
        <v>0</v>
      </c>
      <c r="P350" s="463">
        <f t="shared" si="107"/>
        <v>0</v>
      </c>
      <c r="Q350" s="463">
        <f t="shared" si="108"/>
        <v>0</v>
      </c>
      <c r="R350" s="463">
        <f t="shared" si="96"/>
        <v>0</v>
      </c>
      <c r="S350" s="463">
        <f t="shared" si="97"/>
        <v>0</v>
      </c>
      <c r="T350" s="463"/>
      <c r="U350" s="784"/>
      <c r="V350" s="784"/>
      <c r="W350" s="784"/>
      <c r="X350" s="574">
        <f t="shared" si="109"/>
        <v>0</v>
      </c>
      <c r="Y350" s="422" t="b">
        <f t="shared" si="99"/>
        <v>1</v>
      </c>
      <c r="Z350" s="574">
        <f t="shared" si="100"/>
        <v>0</v>
      </c>
      <c r="AA350" s="710" t="e">
        <f t="shared" si="101"/>
        <v>#DIV/0!</v>
      </c>
    </row>
    <row r="351" spans="1:27" ht="21" hidden="1" customHeight="1" outlineLevel="1" x14ac:dyDescent="0.25">
      <c r="A351" s="479" t="s">
        <v>848</v>
      </c>
      <c r="B351" s="422" t="s">
        <v>849</v>
      </c>
      <c r="C351" s="445" t="s">
        <v>73</v>
      </c>
      <c r="D351" s="475" t="s">
        <v>41</v>
      </c>
      <c r="E351" s="475" t="s">
        <v>42</v>
      </c>
      <c r="F351" s="461">
        <f>$F$16</f>
        <v>41.43</v>
      </c>
      <c r="G351" s="461">
        <v>0.9</v>
      </c>
      <c r="H351" s="461"/>
      <c r="I351" s="461"/>
      <c r="J351" s="461"/>
      <c r="K351" s="461"/>
      <c r="L351" s="725"/>
      <c r="M351" s="463">
        <f>F351*G351</f>
        <v>37.29</v>
      </c>
      <c r="N351" s="463">
        <f t="shared" si="105"/>
        <v>3.73</v>
      </c>
      <c r="O351" s="463">
        <f t="shared" si="106"/>
        <v>9.81</v>
      </c>
      <c r="P351" s="463">
        <f t="shared" si="107"/>
        <v>111.5</v>
      </c>
      <c r="Q351" s="463">
        <f t="shared" si="108"/>
        <v>162.33000000000001</v>
      </c>
      <c r="R351" s="463">
        <f t="shared" si="96"/>
        <v>67.06</v>
      </c>
      <c r="S351" s="463">
        <f t="shared" si="97"/>
        <v>32.14</v>
      </c>
      <c r="T351" s="463">
        <f>ROUND(Q351*1.298,1)</f>
        <v>210.7</v>
      </c>
      <c r="U351" s="784"/>
      <c r="V351" s="784"/>
      <c r="W351" s="784"/>
      <c r="X351" s="574">
        <f t="shared" si="109"/>
        <v>162.33000000000001</v>
      </c>
      <c r="Y351" s="422" t="b">
        <f t="shared" si="99"/>
        <v>1</v>
      </c>
      <c r="Z351" s="574">
        <f t="shared" si="100"/>
        <v>261.52999999999997</v>
      </c>
      <c r="AA351" s="710">
        <f t="shared" si="101"/>
        <v>0.41</v>
      </c>
    </row>
    <row r="352" spans="1:27" ht="15" hidden="1" customHeight="1" outlineLevel="1" x14ac:dyDescent="0.25">
      <c r="A352" s="479" t="s">
        <v>850</v>
      </c>
      <c r="B352" s="495" t="s">
        <v>851</v>
      </c>
      <c r="C352" s="445" t="s">
        <v>45</v>
      </c>
      <c r="D352" s="475" t="s">
        <v>41</v>
      </c>
      <c r="E352" s="475" t="s">
        <v>42</v>
      </c>
      <c r="F352" s="461">
        <f>$F$16</f>
        <v>41.43</v>
      </c>
      <c r="G352" s="461">
        <v>1.42</v>
      </c>
      <c r="H352" s="461"/>
      <c r="I352" s="461"/>
      <c r="J352" s="461"/>
      <c r="K352" s="461"/>
      <c r="L352" s="725"/>
      <c r="M352" s="463">
        <f>F352*G352</f>
        <v>58.83</v>
      </c>
      <c r="N352" s="463">
        <f t="shared" si="105"/>
        <v>5.88</v>
      </c>
      <c r="O352" s="463">
        <f t="shared" si="106"/>
        <v>15.47</v>
      </c>
      <c r="P352" s="463">
        <f t="shared" si="107"/>
        <v>175.9</v>
      </c>
      <c r="Q352" s="463">
        <f t="shared" si="108"/>
        <v>256.08</v>
      </c>
      <c r="R352" s="463">
        <f t="shared" si="96"/>
        <v>105.79</v>
      </c>
      <c r="S352" s="463">
        <f t="shared" si="97"/>
        <v>50.7</v>
      </c>
      <c r="T352" s="463">
        <f>ROUND(Q352*1.298,1)</f>
        <v>332.4</v>
      </c>
      <c r="U352" s="784"/>
      <c r="V352" s="784"/>
      <c r="W352" s="784"/>
      <c r="X352" s="574">
        <f t="shared" si="109"/>
        <v>256.08</v>
      </c>
      <c r="Y352" s="422" t="b">
        <f t="shared" si="99"/>
        <v>1</v>
      </c>
      <c r="Z352" s="574">
        <f t="shared" si="100"/>
        <v>412.57</v>
      </c>
      <c r="AA352" s="710">
        <f t="shared" si="101"/>
        <v>0.41</v>
      </c>
    </row>
    <row r="353" spans="1:27" ht="15" hidden="1" customHeight="1" outlineLevel="1" x14ac:dyDescent="0.25">
      <c r="A353" s="479"/>
      <c r="B353" s="500" t="s">
        <v>852</v>
      </c>
      <c r="C353" s="445"/>
      <c r="D353" s="475"/>
      <c r="E353" s="475"/>
      <c r="F353" s="461"/>
      <c r="G353" s="461"/>
      <c r="H353" s="461"/>
      <c r="I353" s="461"/>
      <c r="J353" s="461"/>
      <c r="K353" s="461"/>
      <c r="L353" s="725"/>
      <c r="M353" s="463"/>
      <c r="N353" s="463">
        <f t="shared" si="105"/>
        <v>0</v>
      </c>
      <c r="O353" s="463">
        <f t="shared" si="106"/>
        <v>0</v>
      </c>
      <c r="P353" s="463">
        <f t="shared" si="107"/>
        <v>0</v>
      </c>
      <c r="Q353" s="463">
        <f t="shared" si="108"/>
        <v>0</v>
      </c>
      <c r="R353" s="463">
        <f t="shared" si="96"/>
        <v>0</v>
      </c>
      <c r="S353" s="463">
        <f t="shared" si="97"/>
        <v>0</v>
      </c>
      <c r="T353" s="463"/>
      <c r="U353" s="784"/>
      <c r="V353" s="784"/>
      <c r="W353" s="784"/>
      <c r="X353" s="574">
        <f t="shared" si="109"/>
        <v>0</v>
      </c>
      <c r="Y353" s="422" t="b">
        <f t="shared" si="99"/>
        <v>1</v>
      </c>
      <c r="Z353" s="574">
        <f t="shared" si="100"/>
        <v>0</v>
      </c>
      <c r="AA353" s="710" t="e">
        <f t="shared" si="101"/>
        <v>#DIV/0!</v>
      </c>
    </row>
    <row r="354" spans="1:27" ht="15" hidden="1" customHeight="1" outlineLevel="1" x14ac:dyDescent="0.25">
      <c r="A354" s="479"/>
      <c r="B354" s="497" t="s">
        <v>853</v>
      </c>
      <c r="C354" s="445"/>
      <c r="D354" s="475"/>
      <c r="E354" s="475"/>
      <c r="F354" s="461"/>
      <c r="G354" s="461"/>
      <c r="H354" s="461"/>
      <c r="I354" s="461"/>
      <c r="J354" s="461"/>
      <c r="K354" s="461"/>
      <c r="L354" s="725"/>
      <c r="M354" s="463"/>
      <c r="N354" s="463">
        <f t="shared" si="105"/>
        <v>0</v>
      </c>
      <c r="O354" s="463">
        <f t="shared" si="106"/>
        <v>0</v>
      </c>
      <c r="P354" s="463">
        <f t="shared" si="107"/>
        <v>0</v>
      </c>
      <c r="Q354" s="463">
        <f t="shared" si="108"/>
        <v>0</v>
      </c>
      <c r="R354" s="463">
        <f t="shared" si="96"/>
        <v>0</v>
      </c>
      <c r="S354" s="463">
        <f t="shared" si="97"/>
        <v>0</v>
      </c>
      <c r="T354" s="463"/>
      <c r="U354" s="784"/>
      <c r="V354" s="784"/>
      <c r="W354" s="784"/>
      <c r="X354" s="574">
        <f t="shared" si="109"/>
        <v>0</v>
      </c>
      <c r="Y354" s="422" t="b">
        <f t="shared" si="99"/>
        <v>1</v>
      </c>
      <c r="Z354" s="574">
        <f t="shared" si="100"/>
        <v>0</v>
      </c>
      <c r="AA354" s="710" t="e">
        <f t="shared" si="101"/>
        <v>#DIV/0!</v>
      </c>
    </row>
    <row r="355" spans="1:27" ht="19.5" hidden="1" customHeight="1" outlineLevel="1" x14ac:dyDescent="0.25">
      <c r="A355" s="479" t="s">
        <v>854</v>
      </c>
      <c r="B355" s="422" t="s">
        <v>855</v>
      </c>
      <c r="C355" s="445"/>
      <c r="D355" s="475"/>
      <c r="E355" s="475"/>
      <c r="F355" s="461"/>
      <c r="G355" s="461"/>
      <c r="H355" s="461"/>
      <c r="I355" s="461"/>
      <c r="J355" s="461"/>
      <c r="K355" s="461"/>
      <c r="L355" s="725"/>
      <c r="M355" s="463"/>
      <c r="N355" s="463">
        <f t="shared" si="105"/>
        <v>0</v>
      </c>
      <c r="O355" s="463">
        <f t="shared" si="106"/>
        <v>0</v>
      </c>
      <c r="P355" s="463">
        <f t="shared" si="107"/>
        <v>0</v>
      </c>
      <c r="Q355" s="463">
        <f t="shared" si="108"/>
        <v>0</v>
      </c>
      <c r="R355" s="463">
        <f t="shared" si="96"/>
        <v>0</v>
      </c>
      <c r="S355" s="463">
        <f t="shared" si="97"/>
        <v>0</v>
      </c>
      <c r="T355" s="463"/>
      <c r="U355" s="784"/>
      <c r="V355" s="784"/>
      <c r="W355" s="784"/>
      <c r="X355" s="574">
        <f t="shared" si="109"/>
        <v>0</v>
      </c>
      <c r="Y355" s="422" t="b">
        <f t="shared" si="99"/>
        <v>1</v>
      </c>
      <c r="Z355" s="574">
        <f t="shared" si="100"/>
        <v>0</v>
      </c>
      <c r="AA355" s="710" t="e">
        <f t="shared" si="101"/>
        <v>#DIV/0!</v>
      </c>
    </row>
    <row r="356" spans="1:27" ht="15" hidden="1" customHeight="1" outlineLevel="1" x14ac:dyDescent="0.25">
      <c r="A356" s="479"/>
      <c r="B356" s="422" t="s">
        <v>856</v>
      </c>
      <c r="C356" s="445" t="s">
        <v>857</v>
      </c>
      <c r="D356" s="475" t="s">
        <v>41</v>
      </c>
      <c r="E356" s="475" t="s">
        <v>42</v>
      </c>
      <c r="F356" s="461">
        <f>$F$16</f>
        <v>41.43</v>
      </c>
      <c r="G356" s="461">
        <v>2.84</v>
      </c>
      <c r="H356" s="461"/>
      <c r="I356" s="461"/>
      <c r="J356" s="461"/>
      <c r="K356" s="461"/>
      <c r="L356" s="725"/>
      <c r="M356" s="463">
        <f>F356*G356</f>
        <v>117.66</v>
      </c>
      <c r="N356" s="463">
        <f t="shared" si="105"/>
        <v>11.77</v>
      </c>
      <c r="O356" s="463">
        <f t="shared" si="106"/>
        <v>30.94</v>
      </c>
      <c r="P356" s="463">
        <f t="shared" si="107"/>
        <v>351.8</v>
      </c>
      <c r="Q356" s="463">
        <f t="shared" si="108"/>
        <v>512.16999999999996</v>
      </c>
      <c r="R356" s="463">
        <f t="shared" si="96"/>
        <v>211.59</v>
      </c>
      <c r="S356" s="463">
        <f t="shared" si="97"/>
        <v>101.41</v>
      </c>
      <c r="T356" s="463">
        <f>ROUND(Q356*1.298,1)</f>
        <v>664.8</v>
      </c>
      <c r="U356" s="784"/>
      <c r="V356" s="784"/>
      <c r="W356" s="784"/>
      <c r="X356" s="574">
        <f t="shared" si="109"/>
        <v>512.16999999999996</v>
      </c>
      <c r="Y356" s="422" t="b">
        <f t="shared" si="99"/>
        <v>1</v>
      </c>
      <c r="Z356" s="574">
        <f t="shared" si="100"/>
        <v>825.17</v>
      </c>
      <c r="AA356" s="710">
        <f t="shared" si="101"/>
        <v>0.41</v>
      </c>
    </row>
    <row r="357" spans="1:27" ht="15" hidden="1" customHeight="1" outlineLevel="1" x14ac:dyDescent="0.25">
      <c r="A357" s="479"/>
      <c r="B357" s="501" t="s">
        <v>858</v>
      </c>
      <c r="C357" s="445" t="s">
        <v>45</v>
      </c>
      <c r="D357" s="475" t="s">
        <v>45</v>
      </c>
      <c r="E357" s="475"/>
      <c r="F357" s="461">
        <f>$F$16</f>
        <v>41.43</v>
      </c>
      <c r="G357" s="461">
        <v>3.38</v>
      </c>
      <c r="H357" s="461"/>
      <c r="I357" s="461"/>
      <c r="J357" s="461"/>
      <c r="K357" s="461"/>
      <c r="L357" s="725"/>
      <c r="M357" s="463">
        <f>F357*G357</f>
        <v>140.03</v>
      </c>
      <c r="N357" s="463">
        <f t="shared" si="105"/>
        <v>14</v>
      </c>
      <c r="O357" s="463">
        <f t="shared" si="106"/>
        <v>36.83</v>
      </c>
      <c r="P357" s="463">
        <f t="shared" si="107"/>
        <v>418.69</v>
      </c>
      <c r="Q357" s="463">
        <f t="shared" si="108"/>
        <v>609.54999999999995</v>
      </c>
      <c r="R357" s="463">
        <f t="shared" si="96"/>
        <v>251.82</v>
      </c>
      <c r="S357" s="463">
        <f t="shared" si="97"/>
        <v>120.69</v>
      </c>
      <c r="T357" s="463">
        <f>ROUND(Q357*1.298,1)</f>
        <v>791.2</v>
      </c>
      <c r="U357" s="784"/>
      <c r="V357" s="784"/>
      <c r="W357" s="784"/>
      <c r="X357" s="574">
        <f t="shared" si="109"/>
        <v>609.54999999999995</v>
      </c>
      <c r="Y357" s="422" t="b">
        <f t="shared" si="99"/>
        <v>1</v>
      </c>
      <c r="Z357" s="574">
        <f t="shared" si="100"/>
        <v>982.06</v>
      </c>
      <c r="AA357" s="710">
        <f t="shared" si="101"/>
        <v>0.41</v>
      </c>
    </row>
    <row r="358" spans="1:27" ht="15" hidden="1" customHeight="1" outlineLevel="1" x14ac:dyDescent="0.25">
      <c r="A358" s="479"/>
      <c r="B358" s="501" t="s">
        <v>859</v>
      </c>
      <c r="C358" s="445" t="s">
        <v>45</v>
      </c>
      <c r="D358" s="475" t="s">
        <v>45</v>
      </c>
      <c r="E358" s="475"/>
      <c r="F358" s="461">
        <f>$F$16</f>
        <v>41.43</v>
      </c>
      <c r="G358" s="461">
        <v>4</v>
      </c>
      <c r="H358" s="461"/>
      <c r="I358" s="461"/>
      <c r="J358" s="461"/>
      <c r="K358" s="461"/>
      <c r="L358" s="725"/>
      <c r="M358" s="463">
        <f>F358*G358</f>
        <v>165.72</v>
      </c>
      <c r="N358" s="463">
        <f t="shared" si="105"/>
        <v>16.57</v>
      </c>
      <c r="O358" s="463">
        <f t="shared" si="106"/>
        <v>43.58</v>
      </c>
      <c r="P358" s="463">
        <f t="shared" si="107"/>
        <v>495.5</v>
      </c>
      <c r="Q358" s="463">
        <f t="shared" si="108"/>
        <v>721.37</v>
      </c>
      <c r="R358" s="463">
        <f t="shared" si="96"/>
        <v>297.97000000000003</v>
      </c>
      <c r="S358" s="463">
        <f t="shared" si="97"/>
        <v>142.82</v>
      </c>
      <c r="T358" s="463">
        <f>ROUND(Q358*1.298,1)</f>
        <v>936.3</v>
      </c>
      <c r="U358" s="784"/>
      <c r="V358" s="784"/>
      <c r="W358" s="784"/>
      <c r="X358" s="574">
        <f t="shared" si="109"/>
        <v>721.37</v>
      </c>
      <c r="Y358" s="422" t="b">
        <f t="shared" si="99"/>
        <v>1</v>
      </c>
      <c r="Z358" s="574">
        <f t="shared" si="100"/>
        <v>1162.1600000000001</v>
      </c>
      <c r="AA358" s="710">
        <f t="shared" si="101"/>
        <v>0.41</v>
      </c>
    </row>
    <row r="359" spans="1:27" ht="15" hidden="1" customHeight="1" outlineLevel="1" x14ac:dyDescent="0.25">
      <c r="A359" s="479"/>
      <c r="B359" s="501" t="s">
        <v>860</v>
      </c>
      <c r="C359" s="445" t="s">
        <v>45</v>
      </c>
      <c r="D359" s="475" t="s">
        <v>45</v>
      </c>
      <c r="E359" s="475"/>
      <c r="F359" s="461">
        <f>$F$16</f>
        <v>41.43</v>
      </c>
      <c r="G359" s="461">
        <v>4.78</v>
      </c>
      <c r="H359" s="461"/>
      <c r="I359" s="461"/>
      <c r="J359" s="461"/>
      <c r="K359" s="461"/>
      <c r="L359" s="725"/>
      <c r="M359" s="463">
        <f>F359*G359</f>
        <v>198.04</v>
      </c>
      <c r="N359" s="463">
        <f t="shared" si="105"/>
        <v>19.8</v>
      </c>
      <c r="O359" s="463">
        <f t="shared" si="106"/>
        <v>52.08</v>
      </c>
      <c r="P359" s="463">
        <f t="shared" si="107"/>
        <v>592.14</v>
      </c>
      <c r="Q359" s="463">
        <f t="shared" si="108"/>
        <v>862.06</v>
      </c>
      <c r="R359" s="463">
        <f t="shared" si="96"/>
        <v>356.17</v>
      </c>
      <c r="S359" s="463">
        <f t="shared" si="97"/>
        <v>170.7</v>
      </c>
      <c r="T359" s="463">
        <f>ROUND(Q359*1.298,1)</f>
        <v>1119</v>
      </c>
      <c r="U359" s="784"/>
      <c r="V359" s="784"/>
      <c r="W359" s="784"/>
      <c r="X359" s="574">
        <f t="shared" si="109"/>
        <v>862.06</v>
      </c>
      <c r="Y359" s="422" t="b">
        <f t="shared" si="99"/>
        <v>1</v>
      </c>
      <c r="Z359" s="574">
        <f t="shared" si="100"/>
        <v>1388.93</v>
      </c>
      <c r="AA359" s="710">
        <f t="shared" si="101"/>
        <v>0.41</v>
      </c>
    </row>
    <row r="360" spans="1:27" ht="19.5" hidden="1" customHeight="1" outlineLevel="1" x14ac:dyDescent="0.25">
      <c r="A360" s="479" t="s">
        <v>861</v>
      </c>
      <c r="B360" s="497" t="s">
        <v>862</v>
      </c>
      <c r="C360" s="445"/>
      <c r="D360" s="475"/>
      <c r="E360" s="475"/>
      <c r="F360" s="461"/>
      <c r="G360" s="461"/>
      <c r="H360" s="461"/>
      <c r="I360" s="461"/>
      <c r="J360" s="461"/>
      <c r="K360" s="461"/>
      <c r="L360" s="725"/>
      <c r="M360" s="463"/>
      <c r="N360" s="463">
        <f t="shared" si="105"/>
        <v>0</v>
      </c>
      <c r="O360" s="463">
        <f t="shared" si="106"/>
        <v>0</v>
      </c>
      <c r="P360" s="463">
        <f t="shared" si="107"/>
        <v>0</v>
      </c>
      <c r="Q360" s="463">
        <f t="shared" si="108"/>
        <v>0</v>
      </c>
      <c r="R360" s="463">
        <f t="shared" si="96"/>
        <v>0</v>
      </c>
      <c r="S360" s="463">
        <f t="shared" si="97"/>
        <v>0</v>
      </c>
      <c r="T360" s="463"/>
      <c r="U360" s="784"/>
      <c r="V360" s="784"/>
      <c r="W360" s="784"/>
      <c r="X360" s="574">
        <f t="shared" si="109"/>
        <v>0</v>
      </c>
      <c r="Y360" s="422" t="b">
        <f t="shared" si="99"/>
        <v>1</v>
      </c>
      <c r="Z360" s="574">
        <f t="shared" si="100"/>
        <v>0</v>
      </c>
      <c r="AA360" s="710" t="e">
        <f t="shared" si="101"/>
        <v>#DIV/0!</v>
      </c>
    </row>
    <row r="361" spans="1:27" ht="15" hidden="1" customHeight="1" outlineLevel="1" x14ac:dyDescent="0.25">
      <c r="A361" s="479"/>
      <c r="B361" s="422" t="s">
        <v>863</v>
      </c>
      <c r="C361" s="445" t="s">
        <v>864</v>
      </c>
      <c r="D361" s="475" t="s">
        <v>41</v>
      </c>
      <c r="E361" s="475" t="s">
        <v>42</v>
      </c>
      <c r="F361" s="461">
        <f t="shared" ref="F361:F367" si="110">$F$16</f>
        <v>41.43</v>
      </c>
      <c r="G361" s="461">
        <v>0.86</v>
      </c>
      <c r="H361" s="461"/>
      <c r="I361" s="461"/>
      <c r="J361" s="461"/>
      <c r="K361" s="461"/>
      <c r="L361" s="725"/>
      <c r="M361" s="463">
        <f t="shared" ref="M361:M367" si="111">F361*G361</f>
        <v>35.630000000000003</v>
      </c>
      <c r="N361" s="463">
        <f t="shared" si="105"/>
        <v>3.56</v>
      </c>
      <c r="O361" s="463">
        <f t="shared" si="106"/>
        <v>9.3699999999999992</v>
      </c>
      <c r="P361" s="463">
        <f t="shared" si="107"/>
        <v>106.53</v>
      </c>
      <c r="Q361" s="463">
        <f t="shared" si="108"/>
        <v>155.09</v>
      </c>
      <c r="R361" s="463">
        <f t="shared" si="96"/>
        <v>64.06</v>
      </c>
      <c r="S361" s="463">
        <f t="shared" si="97"/>
        <v>30.71</v>
      </c>
      <c r="T361" s="463">
        <f t="shared" ref="T361:T367" si="112">ROUND(Q361*1.298,1)</f>
        <v>201.3</v>
      </c>
      <c r="U361" s="784"/>
      <c r="V361" s="784"/>
      <c r="W361" s="784"/>
      <c r="X361" s="574">
        <f t="shared" si="109"/>
        <v>155.09</v>
      </c>
      <c r="Y361" s="422" t="b">
        <f t="shared" si="99"/>
        <v>1</v>
      </c>
      <c r="Z361" s="574">
        <f t="shared" si="100"/>
        <v>249.86</v>
      </c>
      <c r="AA361" s="710">
        <f t="shared" si="101"/>
        <v>0.41</v>
      </c>
    </row>
    <row r="362" spans="1:27" ht="15" hidden="1" customHeight="1" outlineLevel="1" x14ac:dyDescent="0.25">
      <c r="A362" s="479"/>
      <c r="B362" s="490" t="s">
        <v>865</v>
      </c>
      <c r="C362" s="445" t="s">
        <v>45</v>
      </c>
      <c r="D362" s="475" t="s">
        <v>45</v>
      </c>
      <c r="E362" s="475"/>
      <c r="F362" s="461">
        <f t="shared" si="110"/>
        <v>41.43</v>
      </c>
      <c r="G362" s="461">
        <v>1.02</v>
      </c>
      <c r="H362" s="461"/>
      <c r="I362" s="461"/>
      <c r="J362" s="461"/>
      <c r="K362" s="461"/>
      <c r="L362" s="725"/>
      <c r="M362" s="463">
        <f t="shared" si="111"/>
        <v>42.26</v>
      </c>
      <c r="N362" s="463">
        <f t="shared" si="105"/>
        <v>4.2300000000000004</v>
      </c>
      <c r="O362" s="463">
        <f t="shared" si="106"/>
        <v>11.11</v>
      </c>
      <c r="P362" s="463">
        <f t="shared" si="107"/>
        <v>126.36</v>
      </c>
      <c r="Q362" s="463">
        <f t="shared" si="108"/>
        <v>183.96</v>
      </c>
      <c r="R362" s="463">
        <f t="shared" si="96"/>
        <v>76.010000000000005</v>
      </c>
      <c r="S362" s="463">
        <f t="shared" si="97"/>
        <v>36.43</v>
      </c>
      <c r="T362" s="463">
        <f t="shared" si="112"/>
        <v>238.8</v>
      </c>
      <c r="U362" s="784"/>
      <c r="V362" s="784"/>
      <c r="W362" s="784"/>
      <c r="X362" s="574">
        <f t="shared" si="109"/>
        <v>183.96</v>
      </c>
      <c r="Y362" s="422" t="b">
        <f t="shared" si="99"/>
        <v>1</v>
      </c>
      <c r="Z362" s="574">
        <f t="shared" si="100"/>
        <v>296.39999999999998</v>
      </c>
      <c r="AA362" s="710">
        <f t="shared" si="101"/>
        <v>0.41</v>
      </c>
    </row>
    <row r="363" spans="1:27" ht="15" hidden="1" customHeight="1" outlineLevel="1" x14ac:dyDescent="0.25">
      <c r="A363" s="479"/>
      <c r="B363" s="490" t="s">
        <v>866</v>
      </c>
      <c r="C363" s="445" t="s">
        <v>45</v>
      </c>
      <c r="D363" s="475" t="s">
        <v>45</v>
      </c>
      <c r="E363" s="475"/>
      <c r="F363" s="461">
        <f t="shared" si="110"/>
        <v>41.43</v>
      </c>
      <c r="G363" s="461">
        <v>1.2</v>
      </c>
      <c r="H363" s="461"/>
      <c r="I363" s="461"/>
      <c r="J363" s="461"/>
      <c r="K363" s="461"/>
      <c r="L363" s="725"/>
      <c r="M363" s="463">
        <f t="shared" si="111"/>
        <v>49.72</v>
      </c>
      <c r="N363" s="463">
        <f t="shared" si="105"/>
        <v>4.97</v>
      </c>
      <c r="O363" s="463">
        <f t="shared" si="106"/>
        <v>13.08</v>
      </c>
      <c r="P363" s="463">
        <f t="shared" si="107"/>
        <v>148.66</v>
      </c>
      <c r="Q363" s="463">
        <f t="shared" si="108"/>
        <v>216.43</v>
      </c>
      <c r="R363" s="463">
        <f t="shared" si="96"/>
        <v>89.39</v>
      </c>
      <c r="S363" s="463">
        <f t="shared" si="97"/>
        <v>42.85</v>
      </c>
      <c r="T363" s="463">
        <f t="shared" si="112"/>
        <v>280.89999999999998</v>
      </c>
      <c r="U363" s="784"/>
      <c r="V363" s="784"/>
      <c r="W363" s="784"/>
      <c r="X363" s="574">
        <f t="shared" si="109"/>
        <v>216.43</v>
      </c>
      <c r="Y363" s="422" t="b">
        <f t="shared" si="99"/>
        <v>1</v>
      </c>
      <c r="Z363" s="574">
        <f t="shared" si="100"/>
        <v>348.67</v>
      </c>
      <c r="AA363" s="710">
        <f t="shared" si="101"/>
        <v>0.41</v>
      </c>
    </row>
    <row r="364" spans="1:27" ht="15" hidden="1" customHeight="1" outlineLevel="1" x14ac:dyDescent="0.25">
      <c r="A364" s="479"/>
      <c r="B364" s="490" t="s">
        <v>867</v>
      </c>
      <c r="C364" s="445" t="s">
        <v>45</v>
      </c>
      <c r="D364" s="475" t="s">
        <v>45</v>
      </c>
      <c r="E364" s="475"/>
      <c r="F364" s="461">
        <f t="shared" si="110"/>
        <v>41.43</v>
      </c>
      <c r="G364" s="461">
        <v>1.44</v>
      </c>
      <c r="H364" s="461"/>
      <c r="I364" s="461"/>
      <c r="J364" s="461"/>
      <c r="K364" s="461"/>
      <c r="L364" s="725"/>
      <c r="M364" s="463">
        <f t="shared" si="111"/>
        <v>59.66</v>
      </c>
      <c r="N364" s="463">
        <f t="shared" si="105"/>
        <v>5.97</v>
      </c>
      <c r="O364" s="463">
        <f t="shared" si="106"/>
        <v>15.69</v>
      </c>
      <c r="P364" s="463">
        <f t="shared" si="107"/>
        <v>178.38</v>
      </c>
      <c r="Q364" s="463">
        <f t="shared" si="108"/>
        <v>259.7</v>
      </c>
      <c r="R364" s="463">
        <f t="shared" si="96"/>
        <v>107.3</v>
      </c>
      <c r="S364" s="463">
        <f t="shared" si="97"/>
        <v>51.42</v>
      </c>
      <c r="T364" s="463">
        <f t="shared" si="112"/>
        <v>337.1</v>
      </c>
      <c r="U364" s="784"/>
      <c r="V364" s="784"/>
      <c r="W364" s="784"/>
      <c r="X364" s="574">
        <f t="shared" si="109"/>
        <v>259.7</v>
      </c>
      <c r="Y364" s="422" t="b">
        <f t="shared" si="99"/>
        <v>1</v>
      </c>
      <c r="Z364" s="574">
        <f t="shared" si="100"/>
        <v>418.42</v>
      </c>
      <c r="AA364" s="710">
        <f t="shared" si="101"/>
        <v>0.41</v>
      </c>
    </row>
    <row r="365" spans="1:27" ht="18.75" hidden="1" customHeight="1" outlineLevel="1" x14ac:dyDescent="0.25">
      <c r="A365" s="479" t="s">
        <v>868</v>
      </c>
      <c r="B365" s="497" t="s">
        <v>869</v>
      </c>
      <c r="C365" s="445" t="s">
        <v>870</v>
      </c>
      <c r="D365" s="475" t="s">
        <v>41</v>
      </c>
      <c r="E365" s="475" t="s">
        <v>42</v>
      </c>
      <c r="F365" s="461">
        <f t="shared" si="110"/>
        <v>41.43</v>
      </c>
      <c r="G365" s="461">
        <v>0.94</v>
      </c>
      <c r="H365" s="461"/>
      <c r="I365" s="461"/>
      <c r="J365" s="461"/>
      <c r="K365" s="461"/>
      <c r="L365" s="725"/>
      <c r="M365" s="463">
        <f t="shared" si="111"/>
        <v>38.94</v>
      </c>
      <c r="N365" s="463">
        <f t="shared" si="105"/>
        <v>3.89</v>
      </c>
      <c r="O365" s="463">
        <f t="shared" si="106"/>
        <v>10.24</v>
      </c>
      <c r="P365" s="463">
        <f t="shared" si="107"/>
        <v>116.43</v>
      </c>
      <c r="Q365" s="463">
        <f t="shared" si="108"/>
        <v>169.5</v>
      </c>
      <c r="R365" s="463">
        <f t="shared" si="96"/>
        <v>70.010000000000005</v>
      </c>
      <c r="S365" s="463">
        <f t="shared" si="97"/>
        <v>33.56</v>
      </c>
      <c r="T365" s="463">
        <f t="shared" si="112"/>
        <v>220</v>
      </c>
      <c r="U365" s="784"/>
      <c r="V365" s="784"/>
      <c r="W365" s="784"/>
      <c r="X365" s="574">
        <f t="shared" si="109"/>
        <v>169.5</v>
      </c>
      <c r="Y365" s="422" t="b">
        <f t="shared" si="99"/>
        <v>1</v>
      </c>
      <c r="Z365" s="574">
        <f t="shared" si="100"/>
        <v>273.07</v>
      </c>
      <c r="AA365" s="710">
        <f t="shared" si="101"/>
        <v>0.41</v>
      </c>
    </row>
    <row r="366" spans="1:27" ht="15" hidden="1" customHeight="1" outlineLevel="1" x14ac:dyDescent="0.25">
      <c r="A366" s="479"/>
      <c r="B366" s="422" t="s">
        <v>871</v>
      </c>
      <c r="C366" s="445" t="s">
        <v>45</v>
      </c>
      <c r="D366" s="475" t="s">
        <v>41</v>
      </c>
      <c r="E366" s="475" t="s">
        <v>42</v>
      </c>
      <c r="F366" s="461">
        <f t="shared" si="110"/>
        <v>41.43</v>
      </c>
      <c r="G366" s="461">
        <v>1.3</v>
      </c>
      <c r="H366" s="461"/>
      <c r="I366" s="461"/>
      <c r="J366" s="461"/>
      <c r="K366" s="461"/>
      <c r="L366" s="725"/>
      <c r="M366" s="463">
        <f t="shared" si="111"/>
        <v>53.86</v>
      </c>
      <c r="N366" s="463">
        <f t="shared" si="105"/>
        <v>5.39</v>
      </c>
      <c r="O366" s="463">
        <f t="shared" si="106"/>
        <v>14.17</v>
      </c>
      <c r="P366" s="463">
        <f t="shared" si="107"/>
        <v>161.04</v>
      </c>
      <c r="Q366" s="463">
        <f t="shared" si="108"/>
        <v>234.46</v>
      </c>
      <c r="R366" s="463">
        <f t="shared" si="96"/>
        <v>96.84</v>
      </c>
      <c r="S366" s="463">
        <f t="shared" si="97"/>
        <v>46.42</v>
      </c>
      <c r="T366" s="463">
        <f t="shared" si="112"/>
        <v>304.3</v>
      </c>
      <c r="U366" s="784"/>
      <c r="V366" s="784"/>
      <c r="W366" s="784"/>
      <c r="X366" s="574">
        <f t="shared" si="109"/>
        <v>234.46</v>
      </c>
      <c r="Y366" s="422" t="b">
        <f t="shared" si="99"/>
        <v>1</v>
      </c>
      <c r="Z366" s="574">
        <f t="shared" si="100"/>
        <v>377.72</v>
      </c>
      <c r="AA366" s="710">
        <f t="shared" si="101"/>
        <v>0.41</v>
      </c>
    </row>
    <row r="367" spans="1:27" ht="19.5" hidden="1" customHeight="1" outlineLevel="1" x14ac:dyDescent="0.25">
      <c r="A367" s="479" t="s">
        <v>872</v>
      </c>
      <c r="B367" s="497" t="s">
        <v>873</v>
      </c>
      <c r="C367" s="445" t="s">
        <v>874</v>
      </c>
      <c r="D367" s="475" t="s">
        <v>41</v>
      </c>
      <c r="E367" s="475" t="s">
        <v>42</v>
      </c>
      <c r="F367" s="461">
        <f t="shared" si="110"/>
        <v>41.43</v>
      </c>
      <c r="G367" s="461">
        <v>0.65</v>
      </c>
      <c r="H367" s="461"/>
      <c r="I367" s="461"/>
      <c r="J367" s="461"/>
      <c r="K367" s="461"/>
      <c r="L367" s="725"/>
      <c r="M367" s="463">
        <f t="shared" si="111"/>
        <v>26.93</v>
      </c>
      <c r="N367" s="463">
        <f t="shared" si="105"/>
        <v>2.69</v>
      </c>
      <c r="O367" s="463">
        <f t="shared" si="106"/>
        <v>7.08</v>
      </c>
      <c r="P367" s="463">
        <f t="shared" si="107"/>
        <v>80.52</v>
      </c>
      <c r="Q367" s="463">
        <f t="shared" si="108"/>
        <v>117.22</v>
      </c>
      <c r="R367" s="463">
        <f t="shared" si="96"/>
        <v>48.46</v>
      </c>
      <c r="S367" s="463">
        <f t="shared" si="97"/>
        <v>23.22</v>
      </c>
      <c r="T367" s="463">
        <f t="shared" si="112"/>
        <v>152.19999999999999</v>
      </c>
      <c r="U367" s="784"/>
      <c r="V367" s="784"/>
      <c r="W367" s="784"/>
      <c r="X367" s="574">
        <f t="shared" si="109"/>
        <v>117.22</v>
      </c>
      <c r="Y367" s="422" t="b">
        <f t="shared" si="99"/>
        <v>1</v>
      </c>
      <c r="Z367" s="574">
        <f t="shared" si="100"/>
        <v>188.9</v>
      </c>
      <c r="AA367" s="710">
        <f t="shared" si="101"/>
        <v>0.41</v>
      </c>
    </row>
    <row r="368" spans="1:27" ht="15" hidden="1" customHeight="1" outlineLevel="1" x14ac:dyDescent="0.25">
      <c r="A368" s="479"/>
      <c r="B368" s="422" t="s">
        <v>875</v>
      </c>
      <c r="C368" s="445"/>
      <c r="D368" s="475"/>
      <c r="E368" s="475"/>
      <c r="F368" s="461"/>
      <c r="G368" s="461"/>
      <c r="H368" s="461"/>
      <c r="I368" s="461"/>
      <c r="J368" s="461"/>
      <c r="K368" s="461"/>
      <c r="L368" s="725"/>
      <c r="M368" s="463"/>
      <c r="N368" s="463">
        <f t="shared" si="105"/>
        <v>0</v>
      </c>
      <c r="O368" s="463">
        <f t="shared" si="106"/>
        <v>0</v>
      </c>
      <c r="P368" s="463">
        <f t="shared" si="107"/>
        <v>0</v>
      </c>
      <c r="Q368" s="463">
        <f t="shared" si="108"/>
        <v>0</v>
      </c>
      <c r="R368" s="463">
        <f t="shared" si="96"/>
        <v>0</v>
      </c>
      <c r="S368" s="463">
        <f t="shared" si="97"/>
        <v>0</v>
      </c>
      <c r="T368" s="463"/>
      <c r="U368" s="784"/>
      <c r="V368" s="784"/>
      <c r="W368" s="784"/>
      <c r="X368" s="574">
        <f t="shared" si="109"/>
        <v>0</v>
      </c>
      <c r="Y368" s="422" t="b">
        <f t="shared" si="99"/>
        <v>1</v>
      </c>
      <c r="Z368" s="574">
        <f t="shared" si="100"/>
        <v>0</v>
      </c>
      <c r="AA368" s="710" t="e">
        <f t="shared" si="101"/>
        <v>#DIV/0!</v>
      </c>
    </row>
    <row r="369" spans="1:27" ht="15" hidden="1" customHeight="1" outlineLevel="1" x14ac:dyDescent="0.25">
      <c r="A369" s="479"/>
      <c r="C369" s="445"/>
      <c r="D369" s="475"/>
      <c r="E369" s="475"/>
      <c r="F369" s="461"/>
      <c r="G369" s="461"/>
      <c r="H369" s="461"/>
      <c r="I369" s="461"/>
      <c r="J369" s="461"/>
      <c r="K369" s="461"/>
      <c r="L369" s="725"/>
      <c r="M369" s="463"/>
      <c r="N369" s="463">
        <f t="shared" si="105"/>
        <v>0</v>
      </c>
      <c r="O369" s="463">
        <f t="shared" si="106"/>
        <v>0</v>
      </c>
      <c r="P369" s="463">
        <f t="shared" si="107"/>
        <v>0</v>
      </c>
      <c r="Q369" s="463">
        <f t="shared" si="108"/>
        <v>0</v>
      </c>
      <c r="R369" s="463">
        <f t="shared" si="96"/>
        <v>0</v>
      </c>
      <c r="S369" s="463">
        <f t="shared" si="97"/>
        <v>0</v>
      </c>
      <c r="T369" s="463"/>
      <c r="U369" s="784"/>
      <c r="V369" s="784"/>
      <c r="W369" s="784"/>
      <c r="X369" s="574">
        <f t="shared" si="109"/>
        <v>0</v>
      </c>
      <c r="Y369" s="422" t="b">
        <f t="shared" si="99"/>
        <v>1</v>
      </c>
      <c r="Z369" s="574">
        <f t="shared" si="100"/>
        <v>0</v>
      </c>
      <c r="AA369" s="710" t="e">
        <f t="shared" si="101"/>
        <v>#DIV/0!</v>
      </c>
    </row>
    <row r="370" spans="1:27" ht="15" hidden="1" customHeight="1" outlineLevel="1" x14ac:dyDescent="0.25">
      <c r="A370" s="479" t="s">
        <v>876</v>
      </c>
      <c r="B370" s="422" t="s">
        <v>877</v>
      </c>
      <c r="C370" s="445" t="s">
        <v>878</v>
      </c>
      <c r="D370" s="475" t="s">
        <v>41</v>
      </c>
      <c r="E370" s="475" t="s">
        <v>42</v>
      </c>
      <c r="F370" s="461">
        <f>$F$16</f>
        <v>41.43</v>
      </c>
      <c r="G370" s="461">
        <v>0.5</v>
      </c>
      <c r="H370" s="461"/>
      <c r="I370" s="461"/>
      <c r="J370" s="461"/>
      <c r="K370" s="461"/>
      <c r="L370" s="725"/>
      <c r="M370" s="463">
        <f>F370*G370</f>
        <v>20.72</v>
      </c>
      <c r="N370" s="463">
        <f t="shared" si="105"/>
        <v>2.0699999999999998</v>
      </c>
      <c r="O370" s="463">
        <f t="shared" si="106"/>
        <v>5.45</v>
      </c>
      <c r="P370" s="463">
        <f t="shared" si="107"/>
        <v>61.95</v>
      </c>
      <c r="Q370" s="463">
        <f t="shared" si="108"/>
        <v>90.19</v>
      </c>
      <c r="R370" s="463">
        <f t="shared" si="96"/>
        <v>-61.95</v>
      </c>
      <c r="S370" s="463">
        <f t="shared" si="97"/>
        <v>0</v>
      </c>
      <c r="T370" s="463"/>
      <c r="U370" s="784"/>
      <c r="V370" s="784"/>
      <c r="W370" s="784"/>
      <c r="X370" s="574">
        <f t="shared" si="109"/>
        <v>90.19</v>
      </c>
      <c r="Y370" s="422" t="b">
        <f t="shared" si="99"/>
        <v>1</v>
      </c>
      <c r="Z370" s="574">
        <f t="shared" si="100"/>
        <v>28.24</v>
      </c>
      <c r="AA370" s="710">
        <f t="shared" si="101"/>
        <v>-0.69</v>
      </c>
    </row>
    <row r="371" spans="1:27" ht="12" hidden="1" customHeight="1" outlineLevel="1" x14ac:dyDescent="0.25">
      <c r="A371" s="479"/>
      <c r="B371" s="422" t="s">
        <v>879</v>
      </c>
      <c r="C371" s="445"/>
      <c r="D371" s="475"/>
      <c r="E371" s="475"/>
      <c r="F371" s="461"/>
      <c r="G371" s="461"/>
      <c r="H371" s="461"/>
      <c r="I371" s="461"/>
      <c r="J371" s="461"/>
      <c r="K371" s="461"/>
      <c r="L371" s="725"/>
      <c r="M371" s="463"/>
      <c r="N371" s="463">
        <f t="shared" si="105"/>
        <v>0</v>
      </c>
      <c r="O371" s="463">
        <f t="shared" si="106"/>
        <v>0</v>
      </c>
      <c r="P371" s="463">
        <f t="shared" si="107"/>
        <v>0</v>
      </c>
      <c r="Q371" s="463">
        <f t="shared" si="108"/>
        <v>0</v>
      </c>
      <c r="R371" s="463">
        <f t="shared" si="96"/>
        <v>0</v>
      </c>
      <c r="S371" s="463">
        <f t="shared" si="97"/>
        <v>0</v>
      </c>
      <c r="T371" s="463"/>
      <c r="U371" s="784"/>
      <c r="V371" s="784"/>
      <c r="W371" s="784"/>
      <c r="X371" s="574">
        <f t="shared" si="109"/>
        <v>0</v>
      </c>
      <c r="Y371" s="422" t="b">
        <f t="shared" si="99"/>
        <v>1</v>
      </c>
      <c r="Z371" s="574">
        <f t="shared" si="100"/>
        <v>0</v>
      </c>
      <c r="AA371" s="710" t="e">
        <f t="shared" si="101"/>
        <v>#DIV/0!</v>
      </c>
    </row>
    <row r="372" spans="1:27" ht="14.25" hidden="1" customHeight="1" outlineLevel="1" x14ac:dyDescent="0.25">
      <c r="A372" s="479"/>
      <c r="B372" s="422" t="s">
        <v>880</v>
      </c>
      <c r="C372" s="445"/>
      <c r="D372" s="475"/>
      <c r="E372" s="475"/>
      <c r="F372" s="461"/>
      <c r="G372" s="461"/>
      <c r="H372" s="461"/>
      <c r="I372" s="461"/>
      <c r="J372" s="461"/>
      <c r="K372" s="461"/>
      <c r="L372" s="725"/>
      <c r="M372" s="463"/>
      <c r="N372" s="463">
        <f t="shared" si="105"/>
        <v>0</v>
      </c>
      <c r="O372" s="463">
        <f t="shared" si="106"/>
        <v>0</v>
      </c>
      <c r="P372" s="463">
        <f t="shared" si="107"/>
        <v>0</v>
      </c>
      <c r="Q372" s="463">
        <f t="shared" si="108"/>
        <v>0</v>
      </c>
      <c r="R372" s="463">
        <f t="shared" ref="R372:R392" si="113">T372/1.18-P372</f>
        <v>0</v>
      </c>
      <c r="S372" s="463">
        <f t="shared" ref="S372:S392" si="114">(P372+R372)*18%</f>
        <v>0</v>
      </c>
      <c r="T372" s="463"/>
      <c r="U372" s="784"/>
      <c r="V372" s="784"/>
      <c r="W372" s="784"/>
      <c r="X372" s="574">
        <f t="shared" si="109"/>
        <v>0</v>
      </c>
      <c r="Y372" s="422" t="b">
        <f t="shared" si="99"/>
        <v>1</v>
      </c>
      <c r="Z372" s="574">
        <f t="shared" si="100"/>
        <v>0</v>
      </c>
      <c r="AA372" s="710" t="e">
        <f t="shared" si="101"/>
        <v>#DIV/0!</v>
      </c>
    </row>
    <row r="373" spans="1:27" ht="27" hidden="1" customHeight="1" outlineLevel="1" x14ac:dyDescent="0.25">
      <c r="A373" s="479" t="s">
        <v>881</v>
      </c>
      <c r="B373" s="502" t="s">
        <v>882</v>
      </c>
      <c r="C373" s="445" t="s">
        <v>878</v>
      </c>
      <c r="D373" s="475" t="s">
        <v>41</v>
      </c>
      <c r="E373" s="475" t="s">
        <v>42</v>
      </c>
      <c r="F373" s="461">
        <f>$F$16</f>
        <v>41.43</v>
      </c>
      <c r="G373" s="461">
        <v>0.33</v>
      </c>
      <c r="H373" s="461"/>
      <c r="I373" s="461"/>
      <c r="J373" s="461"/>
      <c r="K373" s="461"/>
      <c r="L373" s="725"/>
      <c r="M373" s="463">
        <f>F373*G373</f>
        <v>13.67</v>
      </c>
      <c r="N373" s="463">
        <f t="shared" si="105"/>
        <v>1.37</v>
      </c>
      <c r="O373" s="463">
        <f t="shared" si="106"/>
        <v>3.6</v>
      </c>
      <c r="P373" s="463">
        <f t="shared" si="107"/>
        <v>40.869999999999997</v>
      </c>
      <c r="Q373" s="463">
        <f t="shared" si="108"/>
        <v>59.51</v>
      </c>
      <c r="R373" s="463">
        <f t="shared" si="113"/>
        <v>24.55</v>
      </c>
      <c r="S373" s="463">
        <f t="shared" si="114"/>
        <v>11.78</v>
      </c>
      <c r="T373" s="463">
        <f>ROUND(Q373*1.298,1)</f>
        <v>77.2</v>
      </c>
      <c r="U373" s="784"/>
      <c r="V373" s="784"/>
      <c r="W373" s="784"/>
      <c r="X373" s="574">
        <f t="shared" si="109"/>
        <v>59.51</v>
      </c>
      <c r="Y373" s="422" t="b">
        <f t="shared" si="99"/>
        <v>1</v>
      </c>
      <c r="Z373" s="574">
        <f t="shared" si="100"/>
        <v>95.84</v>
      </c>
      <c r="AA373" s="710">
        <f t="shared" si="101"/>
        <v>0.41</v>
      </c>
    </row>
    <row r="374" spans="1:27" ht="16.5" hidden="1" customHeight="1" outlineLevel="1" x14ac:dyDescent="0.25">
      <c r="A374" s="479"/>
      <c r="B374" s="502" t="s">
        <v>883</v>
      </c>
      <c r="C374" s="445"/>
      <c r="D374" s="475"/>
      <c r="E374" s="475"/>
      <c r="F374" s="461"/>
      <c r="G374" s="461"/>
      <c r="H374" s="461"/>
      <c r="I374" s="461"/>
      <c r="J374" s="461"/>
      <c r="K374" s="461"/>
      <c r="L374" s="725"/>
      <c r="M374" s="463"/>
      <c r="N374" s="463">
        <f t="shared" si="105"/>
        <v>0</v>
      </c>
      <c r="O374" s="463">
        <f t="shared" si="106"/>
        <v>0</v>
      </c>
      <c r="P374" s="463">
        <f t="shared" si="107"/>
        <v>0</v>
      </c>
      <c r="Q374" s="463">
        <f t="shared" si="108"/>
        <v>0</v>
      </c>
      <c r="R374" s="463">
        <f t="shared" si="113"/>
        <v>0</v>
      </c>
      <c r="S374" s="463">
        <f t="shared" si="114"/>
        <v>0</v>
      </c>
      <c r="T374" s="463"/>
      <c r="U374" s="784"/>
      <c r="V374" s="784"/>
      <c r="W374" s="784"/>
      <c r="X374" s="574">
        <f t="shared" si="109"/>
        <v>0</v>
      </c>
      <c r="Y374" s="422" t="b">
        <f t="shared" si="99"/>
        <v>1</v>
      </c>
      <c r="Z374" s="574">
        <f t="shared" si="100"/>
        <v>0</v>
      </c>
      <c r="AA374" s="710" t="e">
        <f t="shared" si="101"/>
        <v>#DIV/0!</v>
      </c>
    </row>
    <row r="375" spans="1:27" ht="25.5" hidden="1" customHeight="1" outlineLevel="1" x14ac:dyDescent="0.25">
      <c r="A375" s="479" t="s">
        <v>884</v>
      </c>
      <c r="B375" s="502" t="s">
        <v>885</v>
      </c>
      <c r="C375" s="445" t="s">
        <v>45</v>
      </c>
      <c r="D375" s="475" t="s">
        <v>41</v>
      </c>
      <c r="E375" s="475" t="s">
        <v>42</v>
      </c>
      <c r="F375" s="461">
        <f>$F$16</f>
        <v>41.43</v>
      </c>
      <c r="G375" s="461">
        <v>0.25</v>
      </c>
      <c r="H375" s="461"/>
      <c r="I375" s="461"/>
      <c r="J375" s="461"/>
      <c r="K375" s="461"/>
      <c r="L375" s="725"/>
      <c r="M375" s="463">
        <f>F375*G375</f>
        <v>10.36</v>
      </c>
      <c r="N375" s="463">
        <f t="shared" si="105"/>
        <v>1.04</v>
      </c>
      <c r="O375" s="463">
        <f t="shared" si="106"/>
        <v>2.72</v>
      </c>
      <c r="P375" s="463">
        <f t="shared" si="107"/>
        <v>30.98</v>
      </c>
      <c r="Q375" s="463">
        <f t="shared" si="108"/>
        <v>45.1</v>
      </c>
      <c r="R375" s="463">
        <f t="shared" si="113"/>
        <v>18.600000000000001</v>
      </c>
      <c r="S375" s="463">
        <f t="shared" si="114"/>
        <v>8.92</v>
      </c>
      <c r="T375" s="463">
        <f>ROUND(Q375*1.298,1)</f>
        <v>58.5</v>
      </c>
      <c r="U375" s="784"/>
      <c r="V375" s="784"/>
      <c r="W375" s="784"/>
      <c r="X375" s="574">
        <f t="shared" si="109"/>
        <v>45.1</v>
      </c>
      <c r="Y375" s="422" t="b">
        <f t="shared" ref="Y375:Y389" si="115">Q375=X375</f>
        <v>1</v>
      </c>
      <c r="Z375" s="574">
        <f t="shared" ref="Z375:Z389" si="116">Q375+R375+S375</f>
        <v>72.62</v>
      </c>
      <c r="AA375" s="710">
        <f t="shared" ref="AA375:AA389" si="117">R375/Q375</f>
        <v>0.41</v>
      </c>
    </row>
    <row r="376" spans="1:27" ht="15.75" hidden="1" customHeight="1" outlineLevel="1" x14ac:dyDescent="0.25">
      <c r="A376" s="479"/>
      <c r="B376" s="502" t="s">
        <v>886</v>
      </c>
      <c r="C376" s="445"/>
      <c r="D376" s="475"/>
      <c r="E376" s="475"/>
      <c r="F376" s="461"/>
      <c r="G376" s="461"/>
      <c r="H376" s="461"/>
      <c r="I376" s="461"/>
      <c r="J376" s="461"/>
      <c r="K376" s="461"/>
      <c r="L376" s="725"/>
      <c r="M376" s="463"/>
      <c r="N376" s="463">
        <f t="shared" si="105"/>
        <v>0</v>
      </c>
      <c r="O376" s="463">
        <f t="shared" si="106"/>
        <v>0</v>
      </c>
      <c r="P376" s="463">
        <f t="shared" si="107"/>
        <v>0</v>
      </c>
      <c r="Q376" s="463">
        <f t="shared" si="108"/>
        <v>0</v>
      </c>
      <c r="R376" s="463">
        <f t="shared" si="113"/>
        <v>0</v>
      </c>
      <c r="S376" s="463">
        <f t="shared" si="114"/>
        <v>0</v>
      </c>
      <c r="T376" s="463"/>
      <c r="U376" s="784"/>
      <c r="V376" s="784"/>
      <c r="W376" s="784"/>
      <c r="X376" s="574">
        <f t="shared" si="109"/>
        <v>0</v>
      </c>
      <c r="Y376" s="422" t="b">
        <f t="shared" si="115"/>
        <v>1</v>
      </c>
      <c r="Z376" s="574">
        <f t="shared" si="116"/>
        <v>0</v>
      </c>
      <c r="AA376" s="710" t="e">
        <f t="shared" si="117"/>
        <v>#DIV/0!</v>
      </c>
    </row>
    <row r="377" spans="1:27" ht="27.75" hidden="1" customHeight="1" outlineLevel="1" x14ac:dyDescent="0.25">
      <c r="A377" s="479" t="s">
        <v>887</v>
      </c>
      <c r="B377" s="502" t="s">
        <v>888</v>
      </c>
      <c r="C377" s="445"/>
      <c r="D377" s="475"/>
      <c r="E377" s="475"/>
      <c r="F377" s="461"/>
      <c r="G377" s="461"/>
      <c r="H377" s="461"/>
      <c r="I377" s="461"/>
      <c r="J377" s="461"/>
      <c r="K377" s="461"/>
      <c r="L377" s="725"/>
      <c r="M377" s="463"/>
      <c r="N377" s="463">
        <f t="shared" si="105"/>
        <v>0</v>
      </c>
      <c r="O377" s="463">
        <f t="shared" si="106"/>
        <v>0</v>
      </c>
      <c r="P377" s="463">
        <f t="shared" si="107"/>
        <v>0</v>
      </c>
      <c r="Q377" s="463">
        <f t="shared" si="108"/>
        <v>0</v>
      </c>
      <c r="R377" s="463">
        <f t="shared" si="113"/>
        <v>0</v>
      </c>
      <c r="S377" s="463">
        <f t="shared" si="114"/>
        <v>0</v>
      </c>
      <c r="T377" s="463"/>
      <c r="U377" s="784"/>
      <c r="V377" s="784"/>
      <c r="W377" s="784"/>
      <c r="X377" s="574">
        <f t="shared" si="109"/>
        <v>0</v>
      </c>
      <c r="Y377" s="422" t="b">
        <f t="shared" si="115"/>
        <v>1</v>
      </c>
      <c r="Z377" s="574">
        <f t="shared" si="116"/>
        <v>0</v>
      </c>
      <c r="AA377" s="710" t="e">
        <f t="shared" si="117"/>
        <v>#DIV/0!</v>
      </c>
    </row>
    <row r="378" spans="1:27" ht="15.75" hidden="1" customHeight="1" outlineLevel="1" x14ac:dyDescent="0.25">
      <c r="A378" s="479"/>
      <c r="B378" s="502" t="s">
        <v>889</v>
      </c>
      <c r="C378" s="445"/>
      <c r="D378" s="475"/>
      <c r="E378" s="475"/>
      <c r="F378" s="461"/>
      <c r="G378" s="461"/>
      <c r="H378" s="461"/>
      <c r="I378" s="461"/>
      <c r="J378" s="461"/>
      <c r="K378" s="461"/>
      <c r="L378" s="725"/>
      <c r="M378" s="463"/>
      <c r="N378" s="463">
        <f t="shared" si="105"/>
        <v>0</v>
      </c>
      <c r="O378" s="463">
        <f t="shared" si="106"/>
        <v>0</v>
      </c>
      <c r="P378" s="463">
        <f t="shared" si="107"/>
        <v>0</v>
      </c>
      <c r="Q378" s="463">
        <f t="shared" si="108"/>
        <v>0</v>
      </c>
      <c r="R378" s="463">
        <f t="shared" si="113"/>
        <v>0</v>
      </c>
      <c r="S378" s="463">
        <f t="shared" si="114"/>
        <v>0</v>
      </c>
      <c r="T378" s="463"/>
      <c r="U378" s="784"/>
      <c r="V378" s="784"/>
      <c r="W378" s="784"/>
      <c r="X378" s="574">
        <f t="shared" si="109"/>
        <v>0</v>
      </c>
      <c r="Y378" s="422" t="b">
        <f t="shared" si="115"/>
        <v>1</v>
      </c>
      <c r="Z378" s="574">
        <f t="shared" si="116"/>
        <v>0</v>
      </c>
      <c r="AA378" s="710" t="e">
        <f t="shared" si="117"/>
        <v>#DIV/0!</v>
      </c>
    </row>
    <row r="379" spans="1:27" ht="15.75" hidden="1" customHeight="1" outlineLevel="1" x14ac:dyDescent="0.25">
      <c r="A379" s="479"/>
      <c r="B379" s="502" t="s">
        <v>890</v>
      </c>
      <c r="C379" s="445" t="s">
        <v>88</v>
      </c>
      <c r="D379" s="475" t="s">
        <v>41</v>
      </c>
      <c r="E379" s="475" t="s">
        <v>42</v>
      </c>
      <c r="F379" s="461">
        <f t="shared" ref="F379:F390" si="118">$F$16</f>
        <v>41.43</v>
      </c>
      <c r="G379" s="461">
        <v>0.65</v>
      </c>
      <c r="H379" s="461"/>
      <c r="I379" s="461"/>
      <c r="J379" s="461"/>
      <c r="K379" s="461"/>
      <c r="L379" s="725"/>
      <c r="M379" s="463">
        <f t="shared" ref="M379:M390" si="119">F379*G379</f>
        <v>26.93</v>
      </c>
      <c r="N379" s="463">
        <f t="shared" si="105"/>
        <v>2.69</v>
      </c>
      <c r="O379" s="463">
        <f t="shared" si="106"/>
        <v>7.08</v>
      </c>
      <c r="P379" s="463">
        <f t="shared" si="107"/>
        <v>80.52</v>
      </c>
      <c r="Q379" s="463">
        <f t="shared" si="108"/>
        <v>117.22</v>
      </c>
      <c r="R379" s="463">
        <f t="shared" si="113"/>
        <v>48.46</v>
      </c>
      <c r="S379" s="463">
        <f t="shared" si="114"/>
        <v>23.22</v>
      </c>
      <c r="T379" s="463">
        <f t="shared" ref="T379:T390" si="120">ROUND(Q379*1.298,1)</f>
        <v>152.19999999999999</v>
      </c>
      <c r="U379" s="784"/>
      <c r="V379" s="784"/>
      <c r="W379" s="784"/>
      <c r="X379" s="574">
        <f t="shared" si="109"/>
        <v>117.22</v>
      </c>
      <c r="Y379" s="422" t="b">
        <f t="shared" si="115"/>
        <v>1</v>
      </c>
      <c r="Z379" s="574">
        <f t="shared" si="116"/>
        <v>188.9</v>
      </c>
      <c r="AA379" s="710">
        <f t="shared" si="117"/>
        <v>0.41</v>
      </c>
    </row>
    <row r="380" spans="1:27" ht="23.25" hidden="1" customHeight="1" outlineLevel="1" x14ac:dyDescent="0.25">
      <c r="A380" s="479" t="s">
        <v>891</v>
      </c>
      <c r="B380" s="422" t="s">
        <v>892</v>
      </c>
      <c r="C380" s="445" t="s">
        <v>45</v>
      </c>
      <c r="D380" s="475" t="s">
        <v>41</v>
      </c>
      <c r="E380" s="475" t="s">
        <v>42</v>
      </c>
      <c r="F380" s="461">
        <f t="shared" si="118"/>
        <v>41.43</v>
      </c>
      <c r="G380" s="461">
        <v>1.04</v>
      </c>
      <c r="H380" s="461"/>
      <c r="I380" s="461"/>
      <c r="J380" s="461"/>
      <c r="K380" s="461"/>
      <c r="L380" s="725"/>
      <c r="M380" s="463">
        <f t="shared" si="119"/>
        <v>43.09</v>
      </c>
      <c r="N380" s="463">
        <f t="shared" si="105"/>
        <v>4.3099999999999996</v>
      </c>
      <c r="O380" s="463">
        <f t="shared" si="106"/>
        <v>11.33</v>
      </c>
      <c r="P380" s="463">
        <f t="shared" si="107"/>
        <v>128.84</v>
      </c>
      <c r="Q380" s="463">
        <f t="shared" si="108"/>
        <v>187.57</v>
      </c>
      <c r="R380" s="463">
        <f t="shared" si="113"/>
        <v>77.52</v>
      </c>
      <c r="S380" s="463">
        <f t="shared" si="114"/>
        <v>37.14</v>
      </c>
      <c r="T380" s="463">
        <f t="shared" si="120"/>
        <v>243.5</v>
      </c>
      <c r="U380" s="784"/>
      <c r="V380" s="784"/>
      <c r="W380" s="784"/>
      <c r="X380" s="574">
        <f t="shared" si="109"/>
        <v>187.57</v>
      </c>
      <c r="Y380" s="422" t="b">
        <f t="shared" si="115"/>
        <v>1</v>
      </c>
      <c r="Z380" s="574">
        <f t="shared" si="116"/>
        <v>302.23</v>
      </c>
      <c r="AA380" s="710">
        <f t="shared" si="117"/>
        <v>0.41</v>
      </c>
    </row>
    <row r="381" spans="1:27" ht="23.25" hidden="1" customHeight="1" outlineLevel="1" x14ac:dyDescent="0.25">
      <c r="A381" s="479" t="s">
        <v>893</v>
      </c>
      <c r="B381" s="422" t="s">
        <v>894</v>
      </c>
      <c r="C381" s="445" t="s">
        <v>53</v>
      </c>
      <c r="D381" s="475" t="s">
        <v>41</v>
      </c>
      <c r="E381" s="475" t="s">
        <v>42</v>
      </c>
      <c r="F381" s="461">
        <f t="shared" si="118"/>
        <v>41.43</v>
      </c>
      <c r="G381" s="461">
        <v>0.39</v>
      </c>
      <c r="H381" s="461"/>
      <c r="I381" s="461"/>
      <c r="J381" s="461"/>
      <c r="K381" s="461"/>
      <c r="L381" s="725"/>
      <c r="M381" s="463">
        <f t="shared" si="119"/>
        <v>16.16</v>
      </c>
      <c r="N381" s="463">
        <f t="shared" si="105"/>
        <v>1.62</v>
      </c>
      <c r="O381" s="463">
        <f t="shared" si="106"/>
        <v>4.25</v>
      </c>
      <c r="P381" s="463">
        <f t="shared" si="107"/>
        <v>48.32</v>
      </c>
      <c r="Q381" s="463">
        <f t="shared" si="108"/>
        <v>70.349999999999994</v>
      </c>
      <c r="R381" s="463">
        <f t="shared" si="113"/>
        <v>29.05</v>
      </c>
      <c r="S381" s="463">
        <f t="shared" si="114"/>
        <v>13.93</v>
      </c>
      <c r="T381" s="463">
        <f t="shared" si="120"/>
        <v>91.3</v>
      </c>
      <c r="U381" s="784"/>
      <c r="V381" s="784"/>
      <c r="W381" s="784"/>
      <c r="X381" s="574">
        <f t="shared" si="109"/>
        <v>70.349999999999994</v>
      </c>
      <c r="Y381" s="422" t="b">
        <f t="shared" si="115"/>
        <v>1</v>
      </c>
      <c r="Z381" s="574">
        <f t="shared" si="116"/>
        <v>113.33</v>
      </c>
      <c r="AA381" s="710">
        <f t="shared" si="117"/>
        <v>0.41</v>
      </c>
    </row>
    <row r="382" spans="1:27" ht="23.25" hidden="1" customHeight="1" outlineLevel="1" x14ac:dyDescent="0.25">
      <c r="A382" s="479" t="s">
        <v>895</v>
      </c>
      <c r="B382" s="422" t="s">
        <v>896</v>
      </c>
      <c r="C382" s="445" t="s">
        <v>45</v>
      </c>
      <c r="D382" s="475" t="s">
        <v>41</v>
      </c>
      <c r="E382" s="475" t="s">
        <v>42</v>
      </c>
      <c r="F382" s="461">
        <f t="shared" si="118"/>
        <v>41.43</v>
      </c>
      <c r="G382" s="461">
        <v>0.52</v>
      </c>
      <c r="H382" s="461"/>
      <c r="I382" s="461"/>
      <c r="J382" s="461"/>
      <c r="K382" s="461"/>
      <c r="L382" s="725"/>
      <c r="M382" s="463">
        <f t="shared" si="119"/>
        <v>21.54</v>
      </c>
      <c r="N382" s="463">
        <f t="shared" si="105"/>
        <v>2.15</v>
      </c>
      <c r="O382" s="463">
        <f t="shared" si="106"/>
        <v>5.67</v>
      </c>
      <c r="P382" s="463">
        <f t="shared" si="107"/>
        <v>64.400000000000006</v>
      </c>
      <c r="Q382" s="463">
        <f t="shared" si="108"/>
        <v>93.76</v>
      </c>
      <c r="R382" s="463">
        <f t="shared" si="113"/>
        <v>38.74</v>
      </c>
      <c r="S382" s="463">
        <f t="shared" si="114"/>
        <v>18.57</v>
      </c>
      <c r="T382" s="463">
        <f t="shared" si="120"/>
        <v>121.7</v>
      </c>
      <c r="U382" s="784"/>
      <c r="V382" s="784"/>
      <c r="W382" s="784"/>
      <c r="X382" s="574">
        <f t="shared" si="109"/>
        <v>93.76</v>
      </c>
      <c r="Y382" s="422" t="b">
        <f t="shared" si="115"/>
        <v>1</v>
      </c>
      <c r="Z382" s="574">
        <f t="shared" si="116"/>
        <v>151.07</v>
      </c>
      <c r="AA382" s="710">
        <f t="shared" si="117"/>
        <v>0.41</v>
      </c>
    </row>
    <row r="383" spans="1:27" ht="23.25" hidden="1" customHeight="1" outlineLevel="1" x14ac:dyDescent="0.25">
      <c r="A383" s="479" t="s">
        <v>897</v>
      </c>
      <c r="B383" s="497" t="s">
        <v>898</v>
      </c>
      <c r="C383" s="445" t="s">
        <v>45</v>
      </c>
      <c r="D383" s="475" t="s">
        <v>41</v>
      </c>
      <c r="E383" s="475" t="s">
        <v>42</v>
      </c>
      <c r="F383" s="461">
        <f t="shared" si="118"/>
        <v>41.43</v>
      </c>
      <c r="G383" s="461">
        <v>0.2</v>
      </c>
      <c r="H383" s="461"/>
      <c r="I383" s="461"/>
      <c r="J383" s="461"/>
      <c r="K383" s="461"/>
      <c r="L383" s="725"/>
      <c r="M383" s="463">
        <f t="shared" si="119"/>
        <v>8.2899999999999991</v>
      </c>
      <c r="N383" s="463">
        <f t="shared" si="105"/>
        <v>0.83</v>
      </c>
      <c r="O383" s="463">
        <f t="shared" si="106"/>
        <v>2.1800000000000002</v>
      </c>
      <c r="P383" s="463">
        <f t="shared" si="107"/>
        <v>24.79</v>
      </c>
      <c r="Q383" s="463">
        <f t="shared" si="108"/>
        <v>36.090000000000003</v>
      </c>
      <c r="R383" s="463">
        <f t="shared" si="113"/>
        <v>14.87</v>
      </c>
      <c r="S383" s="463">
        <f t="shared" si="114"/>
        <v>7.14</v>
      </c>
      <c r="T383" s="463">
        <f t="shared" si="120"/>
        <v>46.8</v>
      </c>
      <c r="U383" s="784"/>
      <c r="V383" s="784"/>
      <c r="W383" s="784"/>
      <c r="X383" s="574">
        <f t="shared" si="109"/>
        <v>36.090000000000003</v>
      </c>
      <c r="Y383" s="422" t="b">
        <f t="shared" si="115"/>
        <v>1</v>
      </c>
      <c r="Z383" s="574">
        <f t="shared" si="116"/>
        <v>58.1</v>
      </c>
      <c r="AA383" s="710">
        <f t="shared" si="117"/>
        <v>0.41</v>
      </c>
    </row>
    <row r="384" spans="1:27" ht="23.25" hidden="1" customHeight="1" outlineLevel="1" x14ac:dyDescent="0.25">
      <c r="A384" s="479" t="s">
        <v>899</v>
      </c>
      <c r="B384" s="422" t="s">
        <v>900</v>
      </c>
      <c r="C384" s="445" t="s">
        <v>73</v>
      </c>
      <c r="D384" s="475" t="s">
        <v>41</v>
      </c>
      <c r="E384" s="475" t="s">
        <v>42</v>
      </c>
      <c r="F384" s="461">
        <f t="shared" si="118"/>
        <v>41.43</v>
      </c>
      <c r="G384" s="461">
        <v>1.46</v>
      </c>
      <c r="H384" s="461"/>
      <c r="I384" s="461"/>
      <c r="J384" s="461"/>
      <c r="K384" s="461"/>
      <c r="L384" s="725"/>
      <c r="M384" s="463">
        <f t="shared" si="119"/>
        <v>60.49</v>
      </c>
      <c r="N384" s="463">
        <f t="shared" si="105"/>
        <v>6.05</v>
      </c>
      <c r="O384" s="463">
        <f t="shared" si="106"/>
        <v>15.91</v>
      </c>
      <c r="P384" s="463">
        <f t="shared" si="107"/>
        <v>180.87</v>
      </c>
      <c r="Q384" s="463">
        <f t="shared" si="108"/>
        <v>263.32</v>
      </c>
      <c r="R384" s="463">
        <f t="shared" si="113"/>
        <v>108.79</v>
      </c>
      <c r="S384" s="463">
        <f t="shared" si="114"/>
        <v>52.14</v>
      </c>
      <c r="T384" s="463">
        <f t="shared" si="120"/>
        <v>341.8</v>
      </c>
      <c r="U384" s="784"/>
      <c r="V384" s="784"/>
      <c r="W384" s="784"/>
      <c r="X384" s="574">
        <f t="shared" si="109"/>
        <v>263.32</v>
      </c>
      <c r="Y384" s="422" t="b">
        <f t="shared" si="115"/>
        <v>1</v>
      </c>
      <c r="Z384" s="574">
        <f t="shared" si="116"/>
        <v>424.25</v>
      </c>
      <c r="AA384" s="710">
        <f t="shared" si="117"/>
        <v>0.41</v>
      </c>
    </row>
    <row r="385" spans="1:27" ht="15.75" hidden="1" customHeight="1" outlineLevel="1" x14ac:dyDescent="0.25">
      <c r="A385" s="479"/>
      <c r="B385" s="495" t="s">
        <v>901</v>
      </c>
      <c r="C385" s="445" t="s">
        <v>45</v>
      </c>
      <c r="D385" s="475" t="s">
        <v>41</v>
      </c>
      <c r="E385" s="475" t="s">
        <v>42</v>
      </c>
      <c r="F385" s="461">
        <f t="shared" si="118"/>
        <v>41.43</v>
      </c>
      <c r="G385" s="461">
        <v>1.69</v>
      </c>
      <c r="H385" s="461"/>
      <c r="I385" s="461"/>
      <c r="J385" s="461"/>
      <c r="K385" s="461"/>
      <c r="L385" s="725"/>
      <c r="M385" s="463">
        <f t="shared" si="119"/>
        <v>70.02</v>
      </c>
      <c r="N385" s="463">
        <f t="shared" si="105"/>
        <v>7</v>
      </c>
      <c r="O385" s="463">
        <f t="shared" si="106"/>
        <v>18.420000000000002</v>
      </c>
      <c r="P385" s="463">
        <f t="shared" si="107"/>
        <v>209.36</v>
      </c>
      <c r="Q385" s="463">
        <f t="shared" si="108"/>
        <v>304.8</v>
      </c>
      <c r="R385" s="463">
        <f t="shared" si="113"/>
        <v>125.89</v>
      </c>
      <c r="S385" s="463">
        <f t="shared" si="114"/>
        <v>60.35</v>
      </c>
      <c r="T385" s="463">
        <f t="shared" si="120"/>
        <v>395.6</v>
      </c>
      <c r="U385" s="784"/>
      <c r="V385" s="784"/>
      <c r="W385" s="784"/>
      <c r="X385" s="574">
        <f t="shared" si="109"/>
        <v>304.8</v>
      </c>
      <c r="Y385" s="422" t="b">
        <f t="shared" si="115"/>
        <v>1</v>
      </c>
      <c r="Z385" s="574">
        <f t="shared" si="116"/>
        <v>491.04</v>
      </c>
      <c r="AA385" s="710">
        <f t="shared" si="117"/>
        <v>0.41</v>
      </c>
    </row>
    <row r="386" spans="1:27" ht="15.75" hidden="1" customHeight="1" outlineLevel="1" x14ac:dyDescent="0.25">
      <c r="A386" s="479"/>
      <c r="B386" s="495" t="s">
        <v>902</v>
      </c>
      <c r="C386" s="445" t="s">
        <v>45</v>
      </c>
      <c r="D386" s="475" t="s">
        <v>41</v>
      </c>
      <c r="E386" s="475" t="s">
        <v>42</v>
      </c>
      <c r="F386" s="461">
        <f t="shared" si="118"/>
        <v>41.43</v>
      </c>
      <c r="G386" s="461">
        <v>1.85</v>
      </c>
      <c r="H386" s="461"/>
      <c r="I386" s="461"/>
      <c r="J386" s="461"/>
      <c r="K386" s="461"/>
      <c r="L386" s="725"/>
      <c r="M386" s="463">
        <f t="shared" si="119"/>
        <v>76.650000000000006</v>
      </c>
      <c r="N386" s="463">
        <f t="shared" si="105"/>
        <v>7.67</v>
      </c>
      <c r="O386" s="463">
        <f t="shared" si="106"/>
        <v>20.16</v>
      </c>
      <c r="P386" s="463">
        <f t="shared" si="107"/>
        <v>229.18</v>
      </c>
      <c r="Q386" s="463">
        <f t="shared" si="108"/>
        <v>333.66</v>
      </c>
      <c r="R386" s="463">
        <f t="shared" si="113"/>
        <v>137.85</v>
      </c>
      <c r="S386" s="463">
        <f t="shared" si="114"/>
        <v>66.069999999999993</v>
      </c>
      <c r="T386" s="463">
        <f t="shared" si="120"/>
        <v>433.1</v>
      </c>
      <c r="U386" s="784"/>
      <c r="V386" s="784"/>
      <c r="W386" s="784"/>
      <c r="X386" s="574">
        <f t="shared" si="109"/>
        <v>333.66</v>
      </c>
      <c r="Y386" s="422" t="b">
        <f t="shared" si="115"/>
        <v>1</v>
      </c>
      <c r="Z386" s="574">
        <f t="shared" si="116"/>
        <v>537.58000000000004</v>
      </c>
      <c r="AA386" s="710">
        <f t="shared" si="117"/>
        <v>0.41</v>
      </c>
    </row>
    <row r="387" spans="1:27" ht="23.25" hidden="1" customHeight="1" outlineLevel="1" x14ac:dyDescent="0.25">
      <c r="A387" s="479" t="s">
        <v>903</v>
      </c>
      <c r="B387" s="422" t="s">
        <v>904</v>
      </c>
      <c r="C387" s="445" t="s">
        <v>73</v>
      </c>
      <c r="D387" s="475" t="s">
        <v>41</v>
      </c>
      <c r="E387" s="475" t="s">
        <v>42</v>
      </c>
      <c r="F387" s="461">
        <f t="shared" si="118"/>
        <v>41.43</v>
      </c>
      <c r="G387" s="461">
        <v>0.17</v>
      </c>
      <c r="H387" s="461"/>
      <c r="I387" s="461"/>
      <c r="J387" s="461"/>
      <c r="K387" s="461"/>
      <c r="L387" s="725"/>
      <c r="M387" s="463">
        <f t="shared" si="119"/>
        <v>7.04</v>
      </c>
      <c r="N387" s="463">
        <f t="shared" si="105"/>
        <v>0.7</v>
      </c>
      <c r="O387" s="463">
        <f t="shared" si="106"/>
        <v>1.85</v>
      </c>
      <c r="P387" s="463">
        <f t="shared" si="107"/>
        <v>21.05</v>
      </c>
      <c r="Q387" s="463">
        <f t="shared" si="108"/>
        <v>30.64</v>
      </c>
      <c r="R387" s="463">
        <f t="shared" si="113"/>
        <v>12.68</v>
      </c>
      <c r="S387" s="463">
        <f t="shared" si="114"/>
        <v>6.07</v>
      </c>
      <c r="T387" s="463">
        <f t="shared" si="120"/>
        <v>39.799999999999997</v>
      </c>
      <c r="U387" s="784"/>
      <c r="V387" s="784"/>
      <c r="W387" s="784"/>
      <c r="X387" s="574">
        <f t="shared" si="109"/>
        <v>30.64</v>
      </c>
      <c r="Y387" s="422" t="b">
        <f t="shared" si="115"/>
        <v>1</v>
      </c>
      <c r="Z387" s="574">
        <f t="shared" si="116"/>
        <v>49.39</v>
      </c>
      <c r="AA387" s="710">
        <f t="shared" si="117"/>
        <v>0.41</v>
      </c>
    </row>
    <row r="388" spans="1:27" ht="17.25" hidden="1" customHeight="1" outlineLevel="1" x14ac:dyDescent="0.25">
      <c r="A388" s="479"/>
      <c r="B388" s="495" t="s">
        <v>901</v>
      </c>
      <c r="C388" s="445" t="s">
        <v>45</v>
      </c>
      <c r="D388" s="475" t="s">
        <v>41</v>
      </c>
      <c r="E388" s="475" t="s">
        <v>42</v>
      </c>
      <c r="F388" s="461">
        <f t="shared" si="118"/>
        <v>41.43</v>
      </c>
      <c r="G388" s="461">
        <v>0.22</v>
      </c>
      <c r="H388" s="461"/>
      <c r="I388" s="461"/>
      <c r="J388" s="461"/>
      <c r="K388" s="461"/>
      <c r="L388" s="725"/>
      <c r="M388" s="463">
        <f t="shared" si="119"/>
        <v>9.11</v>
      </c>
      <c r="N388" s="463">
        <f t="shared" si="105"/>
        <v>0.91</v>
      </c>
      <c r="O388" s="463">
        <f t="shared" si="106"/>
        <v>2.4</v>
      </c>
      <c r="P388" s="463">
        <f t="shared" si="107"/>
        <v>27.24</v>
      </c>
      <c r="Q388" s="463">
        <f t="shared" si="108"/>
        <v>39.659999999999997</v>
      </c>
      <c r="R388" s="463">
        <f t="shared" si="113"/>
        <v>16.399999999999999</v>
      </c>
      <c r="S388" s="463">
        <f t="shared" si="114"/>
        <v>7.86</v>
      </c>
      <c r="T388" s="463">
        <f t="shared" si="120"/>
        <v>51.5</v>
      </c>
      <c r="U388" s="784"/>
      <c r="V388" s="784"/>
      <c r="W388" s="784"/>
      <c r="X388" s="574">
        <f t="shared" si="109"/>
        <v>39.659999999999997</v>
      </c>
      <c r="Y388" s="422" t="b">
        <f t="shared" si="115"/>
        <v>1</v>
      </c>
      <c r="Z388" s="574">
        <f t="shared" si="116"/>
        <v>63.92</v>
      </c>
      <c r="AA388" s="710">
        <f t="shared" si="117"/>
        <v>0.41</v>
      </c>
    </row>
    <row r="389" spans="1:27" ht="17.25" hidden="1" customHeight="1" outlineLevel="1" x14ac:dyDescent="0.25">
      <c r="A389" s="479"/>
      <c r="B389" s="495" t="s">
        <v>902</v>
      </c>
      <c r="C389" s="445" t="s">
        <v>45</v>
      </c>
      <c r="D389" s="475" t="s">
        <v>41</v>
      </c>
      <c r="E389" s="475" t="s">
        <v>42</v>
      </c>
      <c r="F389" s="461">
        <f t="shared" si="118"/>
        <v>41.43</v>
      </c>
      <c r="G389" s="461">
        <v>0.3</v>
      </c>
      <c r="H389" s="461"/>
      <c r="I389" s="461"/>
      <c r="J389" s="461"/>
      <c r="K389" s="461"/>
      <c r="L389" s="725"/>
      <c r="M389" s="463">
        <f t="shared" si="119"/>
        <v>12.43</v>
      </c>
      <c r="N389" s="463">
        <f t="shared" si="105"/>
        <v>1.24</v>
      </c>
      <c r="O389" s="463">
        <f t="shared" si="106"/>
        <v>3.27</v>
      </c>
      <c r="P389" s="463">
        <f t="shared" si="107"/>
        <v>37.17</v>
      </c>
      <c r="Q389" s="463">
        <f t="shared" si="108"/>
        <v>54.11</v>
      </c>
      <c r="R389" s="463">
        <f t="shared" si="113"/>
        <v>22.32</v>
      </c>
      <c r="S389" s="463">
        <f t="shared" si="114"/>
        <v>10.71</v>
      </c>
      <c r="T389" s="463">
        <f t="shared" si="120"/>
        <v>70.2</v>
      </c>
      <c r="U389" s="784"/>
      <c r="V389" s="784"/>
      <c r="W389" s="784"/>
      <c r="X389" s="574">
        <f t="shared" si="109"/>
        <v>54.11</v>
      </c>
      <c r="Y389" s="422" t="b">
        <f t="shared" si="115"/>
        <v>1</v>
      </c>
      <c r="Z389" s="574">
        <f t="shared" si="116"/>
        <v>87.14</v>
      </c>
      <c r="AA389" s="710">
        <f t="shared" si="117"/>
        <v>0.41</v>
      </c>
    </row>
    <row r="390" spans="1:27" ht="23.25" hidden="1" customHeight="1" outlineLevel="1" x14ac:dyDescent="0.25">
      <c r="A390" s="479" t="s">
        <v>905</v>
      </c>
      <c r="B390" s="502" t="s">
        <v>906</v>
      </c>
      <c r="C390" s="445" t="s">
        <v>53</v>
      </c>
      <c r="D390" s="475" t="s">
        <v>41</v>
      </c>
      <c r="E390" s="475" t="s">
        <v>42</v>
      </c>
      <c r="F390" s="461">
        <f t="shared" si="118"/>
        <v>41.43</v>
      </c>
      <c r="G390" s="461">
        <v>0.5</v>
      </c>
      <c r="H390" s="461"/>
      <c r="I390" s="461"/>
      <c r="J390" s="461"/>
      <c r="K390" s="461"/>
      <c r="L390" s="725"/>
      <c r="M390" s="463">
        <f t="shared" si="119"/>
        <v>20.72</v>
      </c>
      <c r="N390" s="463">
        <f t="shared" si="105"/>
        <v>2.0699999999999998</v>
      </c>
      <c r="O390" s="463">
        <f t="shared" si="106"/>
        <v>5.45</v>
      </c>
      <c r="P390" s="463">
        <f t="shared" si="107"/>
        <v>61.95</v>
      </c>
      <c r="Q390" s="463">
        <f t="shared" si="108"/>
        <v>90.19</v>
      </c>
      <c r="R390" s="463">
        <f t="shared" si="113"/>
        <v>37.29</v>
      </c>
      <c r="S390" s="463">
        <f t="shared" si="114"/>
        <v>17.86</v>
      </c>
      <c r="T390" s="463">
        <f t="shared" si="120"/>
        <v>117.1</v>
      </c>
      <c r="U390" s="784"/>
      <c r="V390" s="784"/>
      <c r="W390" s="784"/>
      <c r="X390" s="574">
        <f t="shared" si="109"/>
        <v>90.19</v>
      </c>
      <c r="Z390" s="574"/>
      <c r="AA390" s="710"/>
    </row>
    <row r="391" spans="1:27" ht="12.75" hidden="1" customHeight="1" outlineLevel="1" x14ac:dyDescent="0.25">
      <c r="A391" s="479"/>
      <c r="B391" s="502" t="s">
        <v>907</v>
      </c>
      <c r="C391" s="445"/>
      <c r="D391" s="475"/>
      <c r="E391" s="475"/>
      <c r="F391" s="461"/>
      <c r="G391" s="461"/>
      <c r="H391" s="461"/>
      <c r="I391" s="461"/>
      <c r="J391" s="461"/>
      <c r="K391" s="461"/>
      <c r="L391" s="725"/>
      <c r="M391" s="463"/>
      <c r="N391" s="463">
        <f t="shared" si="105"/>
        <v>0</v>
      </c>
      <c r="O391" s="463">
        <f t="shared" si="106"/>
        <v>0</v>
      </c>
      <c r="P391" s="463">
        <f t="shared" si="107"/>
        <v>0</v>
      </c>
      <c r="Q391" s="463">
        <f t="shared" si="108"/>
        <v>0</v>
      </c>
      <c r="R391" s="463">
        <f t="shared" si="113"/>
        <v>0</v>
      </c>
      <c r="S391" s="463">
        <f t="shared" si="114"/>
        <v>0</v>
      </c>
      <c r="T391" s="463"/>
      <c r="U391" s="784"/>
      <c r="V391" s="784"/>
      <c r="W391" s="784"/>
      <c r="X391" s="574">
        <f t="shared" si="109"/>
        <v>0</v>
      </c>
      <c r="Z391" s="574"/>
      <c r="AA391" s="710"/>
    </row>
    <row r="392" spans="1:27" ht="23.25" hidden="1" customHeight="1" outlineLevel="1" x14ac:dyDescent="0.25">
      <c r="A392" s="479" t="s">
        <v>908</v>
      </c>
      <c r="B392" s="497" t="s">
        <v>909</v>
      </c>
      <c r="C392" s="445"/>
      <c r="D392" s="475"/>
      <c r="E392" s="475"/>
      <c r="F392" s="461"/>
      <c r="G392" s="461"/>
      <c r="H392" s="461"/>
      <c r="I392" s="461"/>
      <c r="J392" s="461"/>
      <c r="K392" s="461"/>
      <c r="L392" s="725"/>
      <c r="M392" s="463"/>
      <c r="N392" s="463">
        <f t="shared" si="105"/>
        <v>0</v>
      </c>
      <c r="O392" s="463">
        <f t="shared" si="106"/>
        <v>0</v>
      </c>
      <c r="P392" s="463">
        <f t="shared" si="107"/>
        <v>0</v>
      </c>
      <c r="Q392" s="463">
        <f t="shared" si="108"/>
        <v>0</v>
      </c>
      <c r="R392" s="463">
        <f t="shared" si="113"/>
        <v>0</v>
      </c>
      <c r="S392" s="463">
        <f t="shared" si="114"/>
        <v>0</v>
      </c>
      <c r="T392" s="463"/>
      <c r="U392" s="784"/>
      <c r="V392" s="784"/>
      <c r="W392" s="784"/>
      <c r="X392" s="574">
        <f t="shared" si="109"/>
        <v>0</v>
      </c>
      <c r="Y392" s="422" t="b">
        <f>Q392=X392</f>
        <v>1</v>
      </c>
      <c r="Z392" s="574">
        <f>Q392+R392+S392</f>
        <v>0</v>
      </c>
      <c r="AA392" s="710" t="e">
        <f>R392/Q392</f>
        <v>#DIV/0!</v>
      </c>
    </row>
    <row r="393" spans="1:27" ht="12" hidden="1" customHeight="1" outlineLevel="1" x14ac:dyDescent="0.25">
      <c r="A393" s="479"/>
      <c r="B393" s="422" t="s">
        <v>910</v>
      </c>
      <c r="C393" s="445" t="s">
        <v>878</v>
      </c>
      <c r="D393" s="475" t="s">
        <v>41</v>
      </c>
      <c r="E393" s="475" t="s">
        <v>42</v>
      </c>
      <c r="F393" s="461">
        <f>$F$16</f>
        <v>41.43</v>
      </c>
      <c r="G393" s="461">
        <v>0.32</v>
      </c>
      <c r="H393" s="461"/>
      <c r="I393" s="461"/>
      <c r="J393" s="461"/>
      <c r="K393" s="461"/>
      <c r="L393" s="725"/>
      <c r="M393" s="463">
        <f>F393*G393</f>
        <v>13.26</v>
      </c>
      <c r="N393" s="472"/>
      <c r="O393" s="472"/>
      <c r="P393" s="472"/>
      <c r="Q393" s="464"/>
      <c r="R393" s="472"/>
      <c r="S393" s="472"/>
      <c r="T393" s="463">
        <f>ROUND(Q393*1.298,1)</f>
        <v>0</v>
      </c>
      <c r="U393" s="472"/>
      <c r="V393" s="472"/>
      <c r="W393" s="472"/>
      <c r="Z393" s="574">
        <f>Q393+R393+S393</f>
        <v>0</v>
      </c>
      <c r="AA393" s="710"/>
    </row>
    <row r="394" spans="1:27" ht="12.75" hidden="1" customHeight="1" outlineLevel="1" x14ac:dyDescent="0.25">
      <c r="A394" s="479"/>
      <c r="C394" s="482"/>
      <c r="D394" s="483"/>
      <c r="E394" s="483"/>
      <c r="F394" s="476"/>
      <c r="G394" s="476"/>
      <c r="H394" s="476"/>
      <c r="I394" s="476"/>
      <c r="J394" s="476"/>
      <c r="K394" s="476"/>
      <c r="L394" s="726"/>
      <c r="M394" s="472"/>
      <c r="N394" s="472"/>
      <c r="O394" s="472"/>
      <c r="P394" s="472"/>
      <c r="Q394" s="464"/>
      <c r="R394" s="472"/>
      <c r="S394" s="472"/>
      <c r="T394" s="466"/>
      <c r="U394" s="472"/>
      <c r="V394" s="472"/>
      <c r="W394" s="472"/>
      <c r="Z394" s="574">
        <f>Q394+R394+S394</f>
        <v>0</v>
      </c>
      <c r="AA394" s="710"/>
    </row>
    <row r="395" spans="1:27" ht="29.25" hidden="1" customHeight="1" outlineLevel="1" x14ac:dyDescent="0.25">
      <c r="A395" s="479"/>
      <c r="B395" s="473" t="s">
        <v>911</v>
      </c>
      <c r="C395" s="482"/>
      <c r="D395" s="483"/>
      <c r="E395" s="483"/>
      <c r="F395" s="476"/>
      <c r="G395" s="476"/>
      <c r="H395" s="476"/>
      <c r="I395" s="476"/>
      <c r="J395" s="476"/>
      <c r="K395" s="476"/>
      <c r="L395" s="726"/>
      <c r="M395" s="472"/>
      <c r="N395" s="507"/>
      <c r="O395" s="507"/>
      <c r="P395" s="507"/>
      <c r="Q395" s="507"/>
      <c r="R395" s="507"/>
      <c r="S395" s="507"/>
      <c r="T395" s="466"/>
      <c r="U395" s="787"/>
      <c r="V395" s="787"/>
      <c r="W395" s="787"/>
      <c r="Z395" s="574">
        <f>Q395+R395+S395</f>
        <v>0</v>
      </c>
      <c r="AA395" s="710"/>
    </row>
    <row r="396" spans="1:27" ht="18.75" hidden="1" customHeight="1" outlineLevel="1" x14ac:dyDescent="0.25">
      <c r="A396" s="757"/>
      <c r="B396" s="488"/>
      <c r="C396" s="504"/>
      <c r="D396" s="505"/>
      <c r="E396" s="505"/>
      <c r="F396" s="506"/>
      <c r="G396" s="506"/>
      <c r="H396" s="506"/>
      <c r="I396" s="506"/>
      <c r="J396" s="506"/>
      <c r="K396" s="506"/>
      <c r="L396" s="788"/>
      <c r="M396" s="507"/>
      <c r="T396" s="508"/>
      <c r="Z396" s="574">
        <f>Q396+R396+S396</f>
        <v>0</v>
      </c>
      <c r="AA396" s="710"/>
    </row>
    <row r="397" spans="1:27" collapsed="1" x14ac:dyDescent="0.25"/>
  </sheetData>
  <mergeCells count="33">
    <mergeCell ref="A1:V1"/>
    <mergeCell ref="A2:V2"/>
    <mergeCell ref="A11:A14"/>
    <mergeCell ref="B11:B14"/>
    <mergeCell ref="C11:C14"/>
    <mergeCell ref="E11:E14"/>
    <mergeCell ref="T11:T14"/>
    <mergeCell ref="F11:F14"/>
    <mergeCell ref="G11:G14"/>
    <mergeCell ref="U11:U14"/>
    <mergeCell ref="V11:V14"/>
    <mergeCell ref="H12:H14"/>
    <mergeCell ref="I12:I14"/>
    <mergeCell ref="J12:J14"/>
    <mergeCell ref="K12:K14"/>
    <mergeCell ref="H11:K11"/>
    <mergeCell ref="M11:M14"/>
    <mergeCell ref="L11:L14"/>
    <mergeCell ref="O11:O14"/>
    <mergeCell ref="P11:P14"/>
    <mergeCell ref="N11:N14"/>
    <mergeCell ref="Q11:Q14"/>
    <mergeCell ref="R11:R14"/>
    <mergeCell ref="R112:R115"/>
    <mergeCell ref="S112:S115"/>
    <mergeCell ref="S11:S14"/>
    <mergeCell ref="T113:T116"/>
    <mergeCell ref="B60:B62"/>
    <mergeCell ref="B97:B98"/>
    <mergeCell ref="N112:N115"/>
    <mergeCell ref="O112:O115"/>
    <mergeCell ref="P112:P115"/>
    <mergeCell ref="Q112:Q115"/>
  </mergeCells>
  <printOptions horizontalCentered="1"/>
  <pageMargins left="0.47244094488188981" right="0.47244094488188981" top="0.27559055118110237" bottom="0.27559055118110237" header="0.51181102362204722" footer="0.51181102362204722"/>
  <pageSetup paperSize="9" scale="67" fitToHeight="0" orientation="landscape" blackAndWhite="1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0" t="s">
        <v>167</v>
      </c>
      <c r="C6" s="1020"/>
      <c r="D6" s="1020"/>
      <c r="E6" s="1020"/>
      <c r="F6" s="1020"/>
      <c r="G6" s="1020"/>
      <c r="H6" s="1020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1021" t="s">
        <v>146</v>
      </c>
      <c r="C8" s="1021"/>
      <c r="D8" s="1021"/>
      <c r="E8" s="1021"/>
      <c r="F8" s="1021"/>
      <c r="G8" s="1021"/>
      <c r="H8" s="1021"/>
      <c r="I8" s="1021"/>
    </row>
    <row r="9" spans="1:9" ht="93.6" x14ac:dyDescent="0.3">
      <c r="A9" s="177" t="s">
        <v>7</v>
      </c>
      <c r="B9" s="1023" t="s">
        <v>147</v>
      </c>
      <c r="C9" s="1024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1023">
        <v>2</v>
      </c>
      <c r="C10" s="1024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1015" t="s">
        <v>154</v>
      </c>
      <c r="C11" s="1016"/>
      <c r="D11" s="181" t="s">
        <v>155</v>
      </c>
      <c r="E11" s="180">
        <v>1</v>
      </c>
      <c r="F11" s="182" t="e">
        <f>#REF!</f>
        <v>#REF!</v>
      </c>
      <c r="G11" s="180">
        <v>0.7</v>
      </c>
      <c r="H11" s="183" t="e">
        <f>F11*G11</f>
        <v>#REF!</v>
      </c>
      <c r="I11" s="182" t="e">
        <f t="shared" ref="I11:I21" si="0">H11/1.18*0.18</f>
        <v>#REF!</v>
      </c>
    </row>
    <row r="12" spans="1:9" s="184" customFormat="1" x14ac:dyDescent="0.3">
      <c r="A12" s="180">
        <v>2</v>
      </c>
      <c r="B12" s="1015" t="s">
        <v>156</v>
      </c>
      <c r="C12" s="1016"/>
      <c r="D12" s="181" t="s">
        <v>155</v>
      </c>
      <c r="E12" s="180">
        <v>1</v>
      </c>
      <c r="F12" s="182" t="e">
        <f>#REF!</f>
        <v>#REF!</v>
      </c>
      <c r="G12" s="180">
        <v>0.4</v>
      </c>
      <c r="H12" s="183" t="e">
        <f>F12*G12</f>
        <v>#REF!</v>
      </c>
      <c r="I12" s="182" t="e">
        <f t="shared" si="0"/>
        <v>#REF!</v>
      </c>
    </row>
    <row r="13" spans="1:9" s="184" customFormat="1" x14ac:dyDescent="0.3">
      <c r="A13" s="180">
        <v>3</v>
      </c>
      <c r="B13" s="1015" t="s">
        <v>157</v>
      </c>
      <c r="C13" s="1016"/>
      <c r="D13" s="181" t="s">
        <v>155</v>
      </c>
      <c r="E13" s="180">
        <v>1</v>
      </c>
      <c r="F13" s="182" t="e">
        <f>#REF!</f>
        <v>#REF!</v>
      </c>
      <c r="G13" s="180">
        <v>0.1</v>
      </c>
      <c r="H13" s="183" t="e">
        <f>F13*G13</f>
        <v>#REF!</v>
      </c>
      <c r="I13" s="182" t="e">
        <f t="shared" si="0"/>
        <v>#REF!</v>
      </c>
    </row>
    <row r="14" spans="1:9" s="184" customFormat="1" x14ac:dyDescent="0.3">
      <c r="A14" s="180">
        <v>4</v>
      </c>
      <c r="B14" s="1015" t="s">
        <v>168</v>
      </c>
      <c r="C14" s="1016"/>
      <c r="D14" s="180" t="s">
        <v>88</v>
      </c>
      <c r="E14" s="180">
        <v>2</v>
      </c>
      <c r="F14" s="182" t="e">
        <f>#REF!</f>
        <v>#REF!</v>
      </c>
      <c r="G14" s="180">
        <v>1</v>
      </c>
      <c r="H14" s="183" t="e">
        <f>F14*G14</f>
        <v>#REF!</v>
      </c>
      <c r="I14" s="182" t="e">
        <f t="shared" si="0"/>
        <v>#REF!</v>
      </c>
    </row>
    <row r="15" spans="1:9" s="184" customFormat="1" x14ac:dyDescent="0.3">
      <c r="A15" s="180">
        <v>5</v>
      </c>
      <c r="B15" s="1015" t="s">
        <v>169</v>
      </c>
      <c r="C15" s="1016"/>
      <c r="D15" s="180" t="s">
        <v>88</v>
      </c>
      <c r="E15" s="180"/>
      <c r="F15" s="182" t="e">
        <f>#REF!</f>
        <v>#REF!</v>
      </c>
      <c r="G15" s="180"/>
      <c r="H15" s="183"/>
      <c r="I15" s="182">
        <f t="shared" si="0"/>
        <v>0</v>
      </c>
    </row>
    <row r="16" spans="1:9" s="184" customFormat="1" x14ac:dyDescent="0.3">
      <c r="A16" s="180">
        <v>6</v>
      </c>
      <c r="B16" s="1015" t="s">
        <v>170</v>
      </c>
      <c r="C16" s="1016"/>
      <c r="D16" s="180" t="s">
        <v>88</v>
      </c>
      <c r="E16" s="180"/>
      <c r="F16" s="182" t="e">
        <f>#REF!</f>
        <v>#REF!</v>
      </c>
      <c r="G16" s="180"/>
      <c r="H16" s="183"/>
      <c r="I16" s="182">
        <f t="shared" si="0"/>
        <v>0</v>
      </c>
    </row>
    <row r="17" spans="1:9" s="184" customFormat="1" x14ac:dyDescent="0.3">
      <c r="A17" s="180">
        <v>7</v>
      </c>
      <c r="B17" s="1015" t="s">
        <v>171</v>
      </c>
      <c r="C17" s="1016"/>
      <c r="D17" s="180" t="s">
        <v>88</v>
      </c>
      <c r="E17" s="180"/>
      <c r="F17" s="182" t="e">
        <f>#REF!</f>
        <v>#REF!</v>
      </c>
      <c r="G17" s="180"/>
      <c r="H17" s="183"/>
      <c r="I17" s="182">
        <f t="shared" si="0"/>
        <v>0</v>
      </c>
    </row>
    <row r="18" spans="1:9" s="184" customFormat="1" x14ac:dyDescent="0.3">
      <c r="A18" s="180">
        <v>8</v>
      </c>
      <c r="B18" s="1015" t="s">
        <v>162</v>
      </c>
      <c r="C18" s="1016"/>
      <c r="D18" s="180" t="s">
        <v>163</v>
      </c>
      <c r="E18" s="180">
        <v>3</v>
      </c>
      <c r="F18" s="182" t="e">
        <f>#REF!</f>
        <v>#REF!</v>
      </c>
      <c r="G18" s="180">
        <v>1</v>
      </c>
      <c r="H18" s="183" t="e">
        <f>F18*G18</f>
        <v>#REF!</v>
      </c>
      <c r="I18" s="182" t="e">
        <f t="shared" si="0"/>
        <v>#REF!</v>
      </c>
    </row>
    <row r="19" spans="1:9" s="184" customFormat="1" x14ac:dyDescent="0.3">
      <c r="A19" s="180">
        <v>9</v>
      </c>
      <c r="B19" s="1015" t="s">
        <v>164</v>
      </c>
      <c r="C19" s="1016"/>
      <c r="D19" s="180" t="s">
        <v>163</v>
      </c>
      <c r="E19" s="180">
        <v>4</v>
      </c>
      <c r="F19" s="182" t="e">
        <f>#REF!</f>
        <v>#REF!</v>
      </c>
      <c r="G19" s="180">
        <v>4</v>
      </c>
      <c r="H19" s="183" t="e">
        <f>F19*G19</f>
        <v>#REF!</v>
      </c>
      <c r="I19" s="182" t="e">
        <f t="shared" si="0"/>
        <v>#REF!</v>
      </c>
    </row>
    <row r="20" spans="1:9" s="184" customFormat="1" x14ac:dyDescent="0.3">
      <c r="A20" s="180">
        <v>10</v>
      </c>
      <c r="B20" s="1014" t="s">
        <v>172</v>
      </c>
      <c r="C20" s="1014"/>
      <c r="D20" s="180" t="s">
        <v>165</v>
      </c>
      <c r="E20" s="180">
        <v>6</v>
      </c>
      <c r="F20" s="182" t="e">
        <f>#REF!</f>
        <v>#REF!</v>
      </c>
      <c r="G20" s="180">
        <v>1</v>
      </c>
      <c r="H20" s="183" t="e">
        <f>F20*G20</f>
        <v>#REF!</v>
      </c>
      <c r="I20" s="182" t="e">
        <f t="shared" si="0"/>
        <v>#REF!</v>
      </c>
    </row>
    <row r="21" spans="1:9" x14ac:dyDescent="0.3">
      <c r="A21" s="180">
        <v>11</v>
      </c>
      <c r="B21" s="1022" t="s">
        <v>153</v>
      </c>
      <c r="C21" s="1022"/>
      <c r="D21" s="186"/>
      <c r="E21" s="185"/>
      <c r="F21" s="185"/>
      <c r="G21" s="185"/>
      <c r="H21" s="187" t="e">
        <f>SUM(H11:H20)</f>
        <v>#REF!</v>
      </c>
      <c r="I21" s="188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50*G19</f>
        <v>200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B10:C10"/>
    <mergeCell ref="B20:C20"/>
    <mergeCell ref="B19:C19"/>
    <mergeCell ref="A5:I5"/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0" t="s">
        <v>175</v>
      </c>
      <c r="C6" s="1020"/>
      <c r="D6" s="1020"/>
      <c r="E6" s="1020"/>
      <c r="F6" s="1020"/>
      <c r="G6" s="1020"/>
      <c r="H6" s="1020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1021" t="s">
        <v>146</v>
      </c>
      <c r="C8" s="1021"/>
      <c r="D8" s="1021"/>
      <c r="E8" s="1021"/>
      <c r="F8" s="1021"/>
      <c r="G8" s="1021"/>
      <c r="H8" s="1021"/>
      <c r="I8" s="1021"/>
    </row>
    <row r="9" spans="1:9" ht="93.6" x14ac:dyDescent="0.3">
      <c r="A9" s="177" t="s">
        <v>7</v>
      </c>
      <c r="B9" s="1023" t="s">
        <v>147</v>
      </c>
      <c r="C9" s="1024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1023">
        <v>2</v>
      </c>
      <c r="C10" s="1024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1015" t="s">
        <v>154</v>
      </c>
      <c r="C11" s="1016"/>
      <c r="D11" s="181" t="s">
        <v>155</v>
      </c>
      <c r="E11" s="180">
        <v>1</v>
      </c>
      <c r="F11" s="182" t="e">
        <f>'1 этаж (2011)'!F11</f>
        <v>#REF!</v>
      </c>
      <c r="G11" s="180">
        <f>14/10</f>
        <v>1.4</v>
      </c>
      <c r="H11" s="183" t="e">
        <f>F11*G11</f>
        <v>#REF!</v>
      </c>
      <c r="I11" s="182" t="e">
        <f t="shared" ref="I11:I21" si="0">H11/1.18*0.18</f>
        <v>#REF!</v>
      </c>
    </row>
    <row r="12" spans="1:9" s="184" customFormat="1" x14ac:dyDescent="0.3">
      <c r="A12" s="180">
        <v>2</v>
      </c>
      <c r="B12" s="1015" t="s">
        <v>156</v>
      </c>
      <c r="C12" s="1016"/>
      <c r="D12" s="181" t="s">
        <v>155</v>
      </c>
      <c r="E12" s="180">
        <v>1</v>
      </c>
      <c r="F12" s="182" t="e">
        <f>'1 этаж (2011)'!F12</f>
        <v>#REF!</v>
      </c>
      <c r="G12" s="180">
        <f>7/10</f>
        <v>0.7</v>
      </c>
      <c r="H12" s="183" t="e">
        <f>F12*G12</f>
        <v>#REF!</v>
      </c>
      <c r="I12" s="182" t="e">
        <f t="shared" si="0"/>
        <v>#REF!</v>
      </c>
    </row>
    <row r="13" spans="1:9" s="184" customFormat="1" x14ac:dyDescent="0.3">
      <c r="A13" s="180">
        <v>3</v>
      </c>
      <c r="B13" s="1015" t="s">
        <v>157</v>
      </c>
      <c r="C13" s="1016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>F13*G13</f>
        <v>#REF!</v>
      </c>
      <c r="I13" s="182" t="e">
        <f t="shared" si="0"/>
        <v>#REF!</v>
      </c>
    </row>
    <row r="14" spans="1:9" s="184" customFormat="1" x14ac:dyDescent="0.3">
      <c r="A14" s="180">
        <v>4</v>
      </c>
      <c r="B14" s="1015" t="s">
        <v>168</v>
      </c>
      <c r="C14" s="1016"/>
      <c r="D14" s="180" t="s">
        <v>88</v>
      </c>
      <c r="E14" s="180">
        <v>2</v>
      </c>
      <c r="F14" s="182" t="e">
        <f>'1 этаж (2011)'!F14</f>
        <v>#REF!</v>
      </c>
      <c r="G14" s="180">
        <v>4</v>
      </c>
      <c r="H14" s="183" t="e">
        <f>F14*G14</f>
        <v>#REF!</v>
      </c>
      <c r="I14" s="182" t="e">
        <f t="shared" si="0"/>
        <v>#REF!</v>
      </c>
    </row>
    <row r="15" spans="1:9" s="184" customFormat="1" x14ac:dyDescent="0.3">
      <c r="A15" s="180">
        <v>5</v>
      </c>
      <c r="B15" s="1015" t="s">
        <v>169</v>
      </c>
      <c r="C15" s="1016"/>
      <c r="D15" s="180" t="s">
        <v>88</v>
      </c>
      <c r="E15" s="180"/>
      <c r="F15" s="182" t="e">
        <f>'1 этаж (2011)'!F15</f>
        <v>#REF!</v>
      </c>
      <c r="G15" s="180"/>
      <c r="H15" s="183"/>
      <c r="I15" s="182">
        <f t="shared" si="0"/>
        <v>0</v>
      </c>
    </row>
    <row r="16" spans="1:9" s="184" customFormat="1" x14ac:dyDescent="0.3">
      <c r="A16" s="180">
        <v>6</v>
      </c>
      <c r="B16" s="1015" t="s">
        <v>170</v>
      </c>
      <c r="C16" s="1016"/>
      <c r="D16" s="180" t="s">
        <v>88</v>
      </c>
      <c r="E16" s="180"/>
      <c r="F16" s="182" t="e">
        <f>'1 этаж (2011)'!F16</f>
        <v>#REF!</v>
      </c>
      <c r="G16" s="180"/>
      <c r="H16" s="183"/>
      <c r="I16" s="182">
        <f t="shared" si="0"/>
        <v>0</v>
      </c>
    </row>
    <row r="17" spans="1:9" s="184" customFormat="1" x14ac:dyDescent="0.3">
      <c r="A17" s="180">
        <v>7</v>
      </c>
      <c r="B17" s="1015" t="s">
        <v>171</v>
      </c>
      <c r="C17" s="1016"/>
      <c r="D17" s="180" t="s">
        <v>88</v>
      </c>
      <c r="E17" s="180"/>
      <c r="F17" s="182" t="e">
        <f>'1 этаж (2011)'!F17</f>
        <v>#REF!</v>
      </c>
      <c r="G17" s="180"/>
      <c r="H17" s="183"/>
      <c r="I17" s="182">
        <f t="shared" si="0"/>
        <v>0</v>
      </c>
    </row>
    <row r="18" spans="1:9" s="184" customFormat="1" x14ac:dyDescent="0.3">
      <c r="A18" s="180">
        <v>8</v>
      </c>
      <c r="B18" s="1015" t="s">
        <v>162</v>
      </c>
      <c r="C18" s="1016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182" t="e">
        <f t="shared" si="0"/>
        <v>#REF!</v>
      </c>
    </row>
    <row r="19" spans="1:9" s="184" customFormat="1" x14ac:dyDescent="0.3">
      <c r="A19" s="180">
        <v>9</v>
      </c>
      <c r="B19" s="1015" t="s">
        <v>164</v>
      </c>
      <c r="C19" s="1016"/>
      <c r="D19" s="180" t="s">
        <v>163</v>
      </c>
      <c r="E19" s="180">
        <v>4</v>
      </c>
      <c r="F19" s="182" t="e">
        <f>'1 этаж (2011)'!F19</f>
        <v>#REF!</v>
      </c>
      <c r="G19" s="180">
        <v>8</v>
      </c>
      <c r="H19" s="183" t="e">
        <f>F19*G19</f>
        <v>#REF!</v>
      </c>
      <c r="I19" s="182" t="e">
        <f t="shared" si="0"/>
        <v>#REF!</v>
      </c>
    </row>
    <row r="20" spans="1:9" s="184" customFormat="1" x14ac:dyDescent="0.3">
      <c r="A20" s="180">
        <v>10</v>
      </c>
      <c r="B20" s="1014" t="s">
        <v>172</v>
      </c>
      <c r="C20" s="1014"/>
      <c r="D20" s="180" t="s">
        <v>165</v>
      </c>
      <c r="E20" s="180">
        <v>6</v>
      </c>
      <c r="F20" s="182" t="e">
        <f>#REF!</f>
        <v>#REF!</v>
      </c>
      <c r="G20" s="180">
        <f>G14</f>
        <v>4</v>
      </c>
      <c r="H20" s="183" t="e">
        <f>F20*G20</f>
        <v>#REF!</v>
      </c>
      <c r="I20" s="182" t="e">
        <f t="shared" si="0"/>
        <v>#REF!</v>
      </c>
    </row>
    <row r="21" spans="1:9" x14ac:dyDescent="0.3">
      <c r="A21" s="180">
        <v>11</v>
      </c>
      <c r="B21" s="1022" t="s">
        <v>153</v>
      </c>
      <c r="C21" s="1022"/>
      <c r="D21" s="186"/>
      <c r="E21" s="185"/>
      <c r="F21" s="185"/>
      <c r="G21" s="185"/>
      <c r="H21" s="187" t="e">
        <f>SUM(H11:H20)</f>
        <v>#REF!</v>
      </c>
      <c r="I21" s="188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51*G19</f>
        <v>408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20:C20"/>
    <mergeCell ref="B19:C19"/>
    <mergeCell ref="A5:I5"/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  <mergeCell ref="B10:C10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5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7.3984375" style="170" customWidth="1"/>
    <col min="10" max="16384" width="8" style="170"/>
  </cols>
  <sheetData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A6" s="1020" t="s">
        <v>176</v>
      </c>
      <c r="B6" s="1020"/>
      <c r="C6" s="1020"/>
      <c r="D6" s="1020"/>
      <c r="E6" s="1020"/>
      <c r="F6" s="1020"/>
      <c r="G6" s="1020"/>
      <c r="H6" s="1020"/>
      <c r="I6" s="1020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1021" t="s">
        <v>146</v>
      </c>
      <c r="C8" s="1021"/>
      <c r="D8" s="1021"/>
      <c r="E8" s="1021"/>
      <c r="F8" s="1021"/>
      <c r="G8" s="1021"/>
      <c r="H8" s="1021"/>
      <c r="I8" s="1021"/>
    </row>
    <row r="9" spans="1:9" ht="96.75" customHeight="1" x14ac:dyDescent="0.3">
      <c r="A9" s="177" t="s">
        <v>7</v>
      </c>
      <c r="B9" s="1023" t="s">
        <v>147</v>
      </c>
      <c r="C9" s="1024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ht="12" customHeight="1" x14ac:dyDescent="0.3">
      <c r="A10" s="178">
        <v>1</v>
      </c>
      <c r="B10" s="1023">
        <v>2</v>
      </c>
      <c r="C10" s="1024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1025" t="s">
        <v>154</v>
      </c>
      <c r="C11" s="1025"/>
      <c r="D11" s="181" t="s">
        <v>155</v>
      </c>
      <c r="E11" s="180">
        <v>1</v>
      </c>
      <c r="F11" s="182" t="e">
        <f>'1 этаж (2011)'!F11</f>
        <v>#REF!</v>
      </c>
      <c r="G11" s="180">
        <f>22/10</f>
        <v>2.2000000000000002</v>
      </c>
      <c r="H11" s="183" t="e">
        <f>F11*G11</f>
        <v>#REF!</v>
      </c>
      <c r="I11" s="201" t="e">
        <f t="shared" ref="I11:I21" si="0">H11/1.18*0.18</f>
        <v>#REF!</v>
      </c>
    </row>
    <row r="12" spans="1:9" s="184" customFormat="1" x14ac:dyDescent="0.3">
      <c r="A12" s="180">
        <v>2</v>
      </c>
      <c r="B12" s="1025" t="s">
        <v>156</v>
      </c>
      <c r="C12" s="1025"/>
      <c r="D12" s="181" t="s">
        <v>155</v>
      </c>
      <c r="E12" s="180">
        <v>1</v>
      </c>
      <c r="F12" s="182" t="e">
        <f>'1 этаж (2011)'!F12</f>
        <v>#REF!</v>
      </c>
      <c r="G12" s="180">
        <f>11/10</f>
        <v>1.1000000000000001</v>
      </c>
      <c r="H12" s="183" t="e">
        <f>F12*G12</f>
        <v>#REF!</v>
      </c>
      <c r="I12" s="201" t="e">
        <f t="shared" si="0"/>
        <v>#REF!</v>
      </c>
    </row>
    <row r="13" spans="1:9" s="184" customFormat="1" x14ac:dyDescent="0.3">
      <c r="A13" s="180">
        <v>3</v>
      </c>
      <c r="B13" s="1025" t="s">
        <v>157</v>
      </c>
      <c r="C13" s="1025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>F13*G13</f>
        <v>#REF!</v>
      </c>
      <c r="I13" s="201" t="e">
        <f t="shared" si="0"/>
        <v>#REF!</v>
      </c>
    </row>
    <row r="14" spans="1:9" s="184" customFormat="1" x14ac:dyDescent="0.3">
      <c r="A14" s="180">
        <v>4</v>
      </c>
      <c r="B14" s="1025" t="s">
        <v>158</v>
      </c>
      <c r="C14" s="1025"/>
      <c r="D14" s="180" t="s">
        <v>88</v>
      </c>
      <c r="E14" s="180"/>
      <c r="F14" s="182" t="e">
        <f>'1 этаж (2011)'!F14</f>
        <v>#REF!</v>
      </c>
      <c r="G14" s="180"/>
      <c r="H14" s="183"/>
      <c r="I14" s="201">
        <f t="shared" si="0"/>
        <v>0</v>
      </c>
    </row>
    <row r="15" spans="1:9" s="184" customFormat="1" x14ac:dyDescent="0.3">
      <c r="A15" s="180">
        <v>5</v>
      </c>
      <c r="B15" s="1025" t="s">
        <v>159</v>
      </c>
      <c r="C15" s="1025"/>
      <c r="D15" s="180" t="s">
        <v>88</v>
      </c>
      <c r="E15" s="180">
        <v>2</v>
      </c>
      <c r="F15" s="182" t="e">
        <f>'1 этаж (2011)'!F15</f>
        <v>#REF!</v>
      </c>
      <c r="G15" s="180">
        <v>4</v>
      </c>
      <c r="H15" s="183" t="e">
        <f>F15*G15</f>
        <v>#REF!</v>
      </c>
      <c r="I15" s="201" t="e">
        <f t="shared" si="0"/>
        <v>#REF!</v>
      </c>
    </row>
    <row r="16" spans="1:9" s="184" customFormat="1" x14ac:dyDescent="0.3">
      <c r="A16" s="180">
        <v>6</v>
      </c>
      <c r="B16" s="1025" t="s">
        <v>160</v>
      </c>
      <c r="C16" s="1025"/>
      <c r="D16" s="180" t="s">
        <v>88</v>
      </c>
      <c r="E16" s="180"/>
      <c r="F16" s="182" t="e">
        <f>'1 этаж (2011)'!F16</f>
        <v>#REF!</v>
      </c>
      <c r="G16" s="180"/>
      <c r="H16" s="183"/>
      <c r="I16" s="201">
        <f t="shared" si="0"/>
        <v>0</v>
      </c>
    </row>
    <row r="17" spans="1:9" s="184" customFormat="1" x14ac:dyDescent="0.3">
      <c r="A17" s="180">
        <v>7</v>
      </c>
      <c r="B17" s="1025" t="s">
        <v>161</v>
      </c>
      <c r="C17" s="1025"/>
      <c r="D17" s="180" t="s">
        <v>88</v>
      </c>
      <c r="E17" s="180"/>
      <c r="F17" s="182" t="e">
        <f>'1 этаж (2011)'!F17</f>
        <v>#REF!</v>
      </c>
      <c r="G17" s="180"/>
      <c r="H17" s="183"/>
      <c r="I17" s="201">
        <f t="shared" si="0"/>
        <v>0</v>
      </c>
    </row>
    <row r="18" spans="1:9" s="184" customFormat="1" x14ac:dyDescent="0.3">
      <c r="A18" s="180">
        <v>8</v>
      </c>
      <c r="B18" s="1025" t="s">
        <v>162</v>
      </c>
      <c r="C18" s="1025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201" t="e">
        <f t="shared" si="0"/>
        <v>#REF!</v>
      </c>
    </row>
    <row r="19" spans="1:9" s="184" customFormat="1" x14ac:dyDescent="0.3">
      <c r="A19" s="180">
        <v>9</v>
      </c>
      <c r="B19" s="1025" t="s">
        <v>164</v>
      </c>
      <c r="C19" s="1025"/>
      <c r="D19" s="180" t="s">
        <v>163</v>
      </c>
      <c r="E19" s="180">
        <v>4</v>
      </c>
      <c r="F19" s="182" t="e">
        <f>'1 этаж (2011)'!F19</f>
        <v>#REF!</v>
      </c>
      <c r="G19" s="180">
        <v>12</v>
      </c>
      <c r="H19" s="183" t="e">
        <f>F19*G19</f>
        <v>#REF!</v>
      </c>
      <c r="I19" s="201" t="e">
        <f t="shared" si="0"/>
        <v>#REF!</v>
      </c>
    </row>
    <row r="20" spans="1:9" s="184" customFormat="1" x14ac:dyDescent="0.3">
      <c r="A20" s="180">
        <v>10</v>
      </c>
      <c r="B20" s="1014" t="s">
        <v>177</v>
      </c>
      <c r="C20" s="1014"/>
      <c r="D20" s="180" t="s">
        <v>165</v>
      </c>
      <c r="E20" s="180">
        <v>6</v>
      </c>
      <c r="F20" s="182" t="e">
        <f>#REF!</f>
        <v>#REF!</v>
      </c>
      <c r="G20" s="180">
        <f>G15</f>
        <v>4</v>
      </c>
      <c r="H20" s="183" t="e">
        <f>F20*G20</f>
        <v>#REF!</v>
      </c>
      <c r="I20" s="201" t="e">
        <f t="shared" si="0"/>
        <v>#REF!</v>
      </c>
    </row>
    <row r="21" spans="1:9" x14ac:dyDescent="0.3">
      <c r="A21" s="180">
        <v>11</v>
      </c>
      <c r="B21" s="1022" t="s">
        <v>153</v>
      </c>
      <c r="C21" s="1022"/>
      <c r="D21" s="186"/>
      <c r="E21" s="185"/>
      <c r="F21" s="185"/>
      <c r="G21" s="185"/>
      <c r="H21" s="187" t="e">
        <f>SUM(H11:H20)</f>
        <v>#REF!</v>
      </c>
      <c r="I21" s="202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55*G19</f>
        <v>660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10:C10"/>
    <mergeCell ref="B12:C12"/>
    <mergeCell ref="A24:I24"/>
    <mergeCell ref="B19:C19"/>
    <mergeCell ref="A5:I5"/>
    <mergeCell ref="A6:I6"/>
    <mergeCell ref="B20:C20"/>
    <mergeCell ref="B11:C11"/>
    <mergeCell ref="B17:C17"/>
    <mergeCell ref="B15:C15"/>
    <mergeCell ref="B16:C16"/>
    <mergeCell ref="B18:C18"/>
    <mergeCell ref="B21:C21"/>
    <mergeCell ref="B8:I8"/>
    <mergeCell ref="B13:C13"/>
    <mergeCell ref="B14:C14"/>
    <mergeCell ref="B9:C9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6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7" t="s">
        <v>178</v>
      </c>
      <c r="C6" s="1027"/>
      <c r="D6" s="1027"/>
      <c r="E6" s="1027"/>
      <c r="F6" s="1027"/>
      <c r="G6" s="1027"/>
      <c r="H6" s="1027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0">
        <v>2</v>
      </c>
      <c r="C10" s="1031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v>2.9</v>
      </c>
      <c r="H11" s="169" t="e">
        <f t="shared" ref="H11:H16" si="0">F11*G11</f>
        <v>#REF!</v>
      </c>
      <c r="I11" s="201" t="e">
        <f t="shared" ref="I11:I21" si="1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v>1.4</v>
      </c>
      <c r="H12" s="169" t="e">
        <f t="shared" si="0"/>
        <v>#REF!</v>
      </c>
      <c r="I12" s="201" t="e">
        <f t="shared" si="1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v>0.5</v>
      </c>
      <c r="H13" s="169" t="e">
        <f t="shared" si="0"/>
        <v>#REF!</v>
      </c>
      <c r="I13" s="201" t="e">
        <f t="shared" si="1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 t="e">
        <f t="shared" si="0"/>
        <v>#REF!</v>
      </c>
      <c r="I14" s="201" t="e">
        <f t="shared" si="1"/>
        <v>#REF!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>
        <v>2</v>
      </c>
      <c r="F15" s="182" t="e">
        <f>'1 этаж (2011)'!F15</f>
        <v>#REF!</v>
      </c>
      <c r="G15" s="212">
        <v>4</v>
      </c>
      <c r="H15" s="169" t="e">
        <f t="shared" si="0"/>
        <v>#REF!</v>
      </c>
      <c r="I15" s="201" t="e">
        <f t="shared" si="1"/>
        <v>#REF!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/>
      <c r="H16" s="169" t="e">
        <f t="shared" si="0"/>
        <v>#REF!</v>
      </c>
      <c r="I16" s="201" t="e">
        <f t="shared" si="1"/>
        <v>#REF!</v>
      </c>
    </row>
    <row r="17" spans="1:9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/>
      <c r="F17" s="182" t="e">
        <f>'1 этаж (2011)'!F17</f>
        <v>#REF!</v>
      </c>
      <c r="G17" s="212"/>
      <c r="H17" s="169"/>
      <c r="I17" s="201">
        <f t="shared" si="1"/>
        <v>0</v>
      </c>
    </row>
    <row r="18" spans="1:9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1"/>
        <v>#REF!</v>
      </c>
    </row>
    <row r="19" spans="1:9" s="215" customFormat="1" x14ac:dyDescent="0.3">
      <c r="A19" s="212">
        <v>9</v>
      </c>
      <c r="B19" s="1026" t="s">
        <v>164</v>
      </c>
      <c r="C19" s="1026"/>
      <c r="D19" s="212" t="s">
        <v>163</v>
      </c>
      <c r="E19" s="212">
        <v>4</v>
      </c>
      <c r="F19" s="182" t="e">
        <f>'1 этаж (2011)'!F19</f>
        <v>#REF!</v>
      </c>
      <c r="G19" s="212">
        <v>16</v>
      </c>
      <c r="H19" s="169" t="e">
        <f>F19*G19</f>
        <v>#REF!</v>
      </c>
      <c r="I19" s="201" t="e">
        <f t="shared" si="1"/>
        <v>#REF!</v>
      </c>
    </row>
    <row r="20" spans="1:9" s="215" customFormat="1" x14ac:dyDescent="0.3">
      <c r="A20" s="212">
        <v>10</v>
      </c>
      <c r="B20" s="1014" t="s">
        <v>177</v>
      </c>
      <c r="C20" s="1014"/>
      <c r="D20" s="212" t="s">
        <v>165</v>
      </c>
      <c r="E20" s="212">
        <v>6</v>
      </c>
      <c r="F20" s="201" t="e">
        <f>#REF!</f>
        <v>#REF!</v>
      </c>
      <c r="G20" s="212">
        <f>G15</f>
        <v>4</v>
      </c>
      <c r="H20" s="169" t="e">
        <f>F20*G20</f>
        <v>#REF!</v>
      </c>
      <c r="I20" s="201" t="e">
        <f t="shared" si="1"/>
        <v>#REF!</v>
      </c>
    </row>
    <row r="21" spans="1:9" x14ac:dyDescent="0.3">
      <c r="A21" s="212">
        <v>11</v>
      </c>
      <c r="B21" s="1028" t="s">
        <v>153</v>
      </c>
      <c r="C21" s="1028"/>
      <c r="D21" s="217"/>
      <c r="E21" s="216"/>
      <c r="F21" s="216"/>
      <c r="G21" s="216"/>
      <c r="H21" s="218" t="e">
        <f>SUM(H11:H20)</f>
        <v>#REF!</v>
      </c>
      <c r="I21" s="202" t="e">
        <f t="shared" si="1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56*G19</f>
        <v>896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B10:C10"/>
    <mergeCell ref="B11:C11"/>
    <mergeCell ref="A24:I24"/>
    <mergeCell ref="B18:C18"/>
    <mergeCell ref="B19:C19"/>
    <mergeCell ref="A5:I5"/>
    <mergeCell ref="B6:H6"/>
    <mergeCell ref="B20:C20"/>
    <mergeCell ref="B12:C12"/>
    <mergeCell ref="B21:C21"/>
    <mergeCell ref="B13:C13"/>
    <mergeCell ref="B14:C14"/>
    <mergeCell ref="B8:I8"/>
    <mergeCell ref="B17:C17"/>
    <mergeCell ref="B15:C15"/>
    <mergeCell ref="B16:C16"/>
    <mergeCell ref="B9:C9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:I29"/>
  <sheetViews>
    <sheetView showZeros="0" view="pageBreakPreview" topLeftCell="A4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5976562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7" t="s">
        <v>179</v>
      </c>
      <c r="C6" s="1027"/>
      <c r="D6" s="1027"/>
      <c r="E6" s="1027"/>
      <c r="F6" s="1027"/>
      <c r="G6" s="1027"/>
      <c r="H6" s="1027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0">
        <v>2</v>
      </c>
      <c r="C10" s="1031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f>36/10</f>
        <v>3.6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f>18/10</f>
        <v>1.8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f>6/10</f>
        <v>0.6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>
        <v>2</v>
      </c>
      <c r="F15" s="182" t="e">
        <f>'1 этаж (2011)'!F15</f>
        <v>#REF!</v>
      </c>
      <c r="G15" s="212">
        <v>4</v>
      </c>
      <c r="H15" s="169" t="e">
        <f>F15*G15</f>
        <v>#REF!</v>
      </c>
      <c r="I15" s="201" t="e">
        <f t="shared" si="0"/>
        <v>#REF!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9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/>
      <c r="F17" s="182" t="e">
        <f>'1 этаж (2011)'!F17</f>
        <v>#REF!</v>
      </c>
      <c r="G17" s="212"/>
      <c r="H17" s="169"/>
      <c r="I17" s="201">
        <f t="shared" si="0"/>
        <v>0</v>
      </c>
    </row>
    <row r="18" spans="1:9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9" s="215" customFormat="1" x14ac:dyDescent="0.3">
      <c r="A19" s="212">
        <v>9</v>
      </c>
      <c r="B19" s="1026" t="s">
        <v>164</v>
      </c>
      <c r="C19" s="1026"/>
      <c r="D19" s="212" t="s">
        <v>163</v>
      </c>
      <c r="E19" s="212">
        <v>4</v>
      </c>
      <c r="F19" s="182" t="e">
        <f>'1 этаж (2011)'!F19</f>
        <v>#REF!</v>
      </c>
      <c r="G19" s="212">
        <v>20</v>
      </c>
      <c r="H19" s="169" t="e">
        <f>F19*G19</f>
        <v>#REF!</v>
      </c>
      <c r="I19" s="201" t="e">
        <f t="shared" si="0"/>
        <v>#REF!</v>
      </c>
    </row>
    <row r="20" spans="1:9" s="215" customFormat="1" x14ac:dyDescent="0.3">
      <c r="A20" s="212">
        <v>10</v>
      </c>
      <c r="B20" s="1014" t="s">
        <v>177</v>
      </c>
      <c r="C20" s="1014"/>
      <c r="D20" s="212" t="s">
        <v>165</v>
      </c>
      <c r="E20" s="212">
        <v>6</v>
      </c>
      <c r="F20" s="201" t="e">
        <f>#REF!</f>
        <v>#REF!</v>
      </c>
      <c r="G20" s="212">
        <f>G15</f>
        <v>4</v>
      </c>
      <c r="H20" s="169" t="e">
        <f>F20*G20</f>
        <v>#REF!</v>
      </c>
      <c r="I20" s="201" t="e">
        <f t="shared" si="0"/>
        <v>#REF!</v>
      </c>
    </row>
    <row r="21" spans="1:9" x14ac:dyDescent="0.3">
      <c r="A21" s="212">
        <v>11</v>
      </c>
      <c r="B21" s="1028" t="s">
        <v>153</v>
      </c>
      <c r="C21" s="1028"/>
      <c r="D21" s="217"/>
      <c r="E21" s="216"/>
      <c r="F21" s="216"/>
      <c r="G21" s="216"/>
      <c r="H21" s="218" t="e">
        <f>SUM(H11:H20)</f>
        <v>#REF!</v>
      </c>
      <c r="I21" s="202" t="e">
        <f t="shared" si="0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47*G19</f>
        <v>940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16:C16"/>
    <mergeCell ref="B13:C13"/>
    <mergeCell ref="A24:I24"/>
    <mergeCell ref="B19:C19"/>
    <mergeCell ref="A5:I5"/>
    <mergeCell ref="B10:C10"/>
    <mergeCell ref="B20:C20"/>
    <mergeCell ref="B21:C21"/>
    <mergeCell ref="B18:C18"/>
    <mergeCell ref="B14:C14"/>
    <mergeCell ref="B6:H6"/>
    <mergeCell ref="B8:I8"/>
    <mergeCell ref="B11:C11"/>
    <mergeCell ref="B12:C12"/>
    <mergeCell ref="B9:C9"/>
    <mergeCell ref="B17:C17"/>
    <mergeCell ref="B15:C15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33" t="s">
        <v>180</v>
      </c>
      <c r="C6" s="1033"/>
      <c r="D6" s="1033"/>
      <c r="E6" s="1033"/>
      <c r="F6" s="1033"/>
      <c r="G6" s="1033"/>
      <c r="H6" s="1033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2">
        <v>2</v>
      </c>
      <c r="C10" s="1032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1025" t="s">
        <v>181</v>
      </c>
      <c r="C20" s="1025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1034" t="s">
        <v>182</v>
      </c>
      <c r="C21" s="1034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59*36</f>
        <v>2124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6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33" t="s">
        <v>183</v>
      </c>
      <c r="C6" s="1033"/>
      <c r="D6" s="1033"/>
      <c r="E6" s="1033"/>
      <c r="F6" s="1033"/>
      <c r="G6" s="1033"/>
      <c r="H6" s="1033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2">
        <v>2</v>
      </c>
      <c r="C10" s="1032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1025" t="s">
        <v>181</v>
      </c>
      <c r="C20" s="1025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1034" t="s">
        <v>182</v>
      </c>
      <c r="C21" s="1034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66*36</f>
        <v>2376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6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"/>
  <sheetViews>
    <sheetView showGridLines="0" showZeros="0" view="pageBreakPreview" zoomScaleNormal="100" zoomScaleSheetLayoutView="100" workbookViewId="0">
      <selection activeCell="B6" sqref="B6"/>
    </sheetView>
  </sheetViews>
  <sheetFormatPr defaultColWidth="9" defaultRowHeight="15.6" x14ac:dyDescent="0.3"/>
  <cols>
    <col min="1" max="1" width="7.59765625" style="244" customWidth="1"/>
    <col min="2" max="2" width="84.3984375" style="26" customWidth="1"/>
    <col min="3" max="3" width="12.8984375" style="26" customWidth="1"/>
    <col min="4" max="9" width="11.59765625" style="26" customWidth="1"/>
    <col min="10" max="16384" width="9" style="26"/>
  </cols>
  <sheetData>
    <row r="1" spans="1:9" ht="18" x14ac:dyDescent="0.35">
      <c r="A1" s="847" t="s">
        <v>201</v>
      </c>
      <c r="B1" s="847"/>
      <c r="C1" s="847"/>
      <c r="D1" s="847"/>
      <c r="E1" s="847"/>
      <c r="F1" s="847"/>
      <c r="G1" s="847"/>
      <c r="H1" s="847"/>
      <c r="I1" s="847"/>
    </row>
    <row r="2" spans="1:9" ht="18" x14ac:dyDescent="0.35">
      <c r="A2" s="847" t="s">
        <v>5</v>
      </c>
      <c r="B2" s="847"/>
      <c r="C2" s="847"/>
      <c r="D2" s="847"/>
      <c r="E2" s="847"/>
      <c r="F2" s="847"/>
      <c r="G2" s="847"/>
      <c r="H2" s="847"/>
      <c r="I2" s="847"/>
    </row>
    <row r="3" spans="1:9" ht="18.600000000000001" thickBot="1" x14ac:dyDescent="0.4">
      <c r="A3" s="874" t="s">
        <v>210</v>
      </c>
      <c r="B3" s="874"/>
      <c r="C3" s="874"/>
      <c r="D3" s="874"/>
      <c r="E3" s="874"/>
      <c r="F3" s="874"/>
      <c r="G3" s="874"/>
      <c r="H3" s="874"/>
      <c r="I3" s="874"/>
    </row>
    <row r="4" spans="1:9" s="316" customFormat="1" ht="24.75" customHeight="1" x14ac:dyDescent="0.25">
      <c r="A4" s="875" t="s">
        <v>7</v>
      </c>
      <c r="B4" s="877" t="s">
        <v>8</v>
      </c>
      <c r="C4" s="879" t="s">
        <v>9</v>
      </c>
      <c r="D4" s="858" t="s">
        <v>240</v>
      </c>
      <c r="E4" s="859"/>
      <c r="F4" s="860"/>
      <c r="G4" s="858" t="s">
        <v>242</v>
      </c>
      <c r="H4" s="859"/>
      <c r="I4" s="860"/>
    </row>
    <row r="5" spans="1:9" s="316" customFormat="1" ht="24.75" customHeight="1" x14ac:dyDescent="0.25">
      <c r="A5" s="876"/>
      <c r="B5" s="878"/>
      <c r="C5" s="873" t="s">
        <v>23</v>
      </c>
      <c r="D5" s="317" t="s">
        <v>28</v>
      </c>
      <c r="E5" s="327" t="s">
        <v>29</v>
      </c>
      <c r="F5" s="328" t="s">
        <v>30</v>
      </c>
      <c r="G5" s="317" t="s">
        <v>28</v>
      </c>
      <c r="H5" s="327" t="s">
        <v>29</v>
      </c>
      <c r="I5" s="328" t="s">
        <v>30</v>
      </c>
    </row>
    <row r="6" spans="1:9" s="250" customFormat="1" ht="15.75" customHeight="1" x14ac:dyDescent="0.3">
      <c r="A6" s="318" t="s">
        <v>37</v>
      </c>
      <c r="B6" s="319">
        <v>2</v>
      </c>
      <c r="C6" s="320">
        <v>3</v>
      </c>
      <c r="D6" s="321">
        <v>4</v>
      </c>
      <c r="E6" s="322">
        <v>5</v>
      </c>
      <c r="F6" s="323">
        <v>6</v>
      </c>
      <c r="G6" s="324">
        <v>7</v>
      </c>
      <c r="H6" s="325">
        <v>8</v>
      </c>
      <c r="I6" s="326">
        <v>9</v>
      </c>
    </row>
    <row r="7" spans="1:9" ht="17.399999999999999" x14ac:dyDescent="0.35">
      <c r="A7" s="262" t="s">
        <v>37</v>
      </c>
      <c r="B7" s="263" t="s">
        <v>39</v>
      </c>
      <c r="C7" s="264" t="s">
        <v>40</v>
      </c>
      <c r="D7" s="816">
        <v>84.41</v>
      </c>
      <c r="E7" s="817">
        <v>15.19</v>
      </c>
      <c r="F7" s="818">
        <v>99.6</v>
      </c>
      <c r="G7" s="816">
        <v>7.03</v>
      </c>
      <c r="H7" s="817">
        <v>1.27</v>
      </c>
      <c r="I7" s="265">
        <v>8.3000000000000007</v>
      </c>
    </row>
    <row r="8" spans="1:9" ht="17.399999999999999" x14ac:dyDescent="0.35">
      <c r="A8" s="262" t="s">
        <v>43</v>
      </c>
      <c r="B8" s="263" t="s">
        <v>44</v>
      </c>
      <c r="C8" s="264" t="s">
        <v>45</v>
      </c>
      <c r="D8" s="816">
        <v>108.31</v>
      </c>
      <c r="E8" s="817">
        <v>19.489999999999998</v>
      </c>
      <c r="F8" s="818">
        <v>127.8</v>
      </c>
      <c r="G8" s="816">
        <v>9.0299999999999994</v>
      </c>
      <c r="H8" s="817">
        <v>1.62</v>
      </c>
      <c r="I8" s="265">
        <v>10.65</v>
      </c>
    </row>
    <row r="9" spans="1:9" ht="17.399999999999999" x14ac:dyDescent="0.35">
      <c r="A9" s="262" t="s">
        <v>46</v>
      </c>
      <c r="B9" s="263" t="s">
        <v>47</v>
      </c>
      <c r="C9" s="264" t="s">
        <v>45</v>
      </c>
      <c r="D9" s="816">
        <v>127.63</v>
      </c>
      <c r="E9" s="817">
        <v>22.97</v>
      </c>
      <c r="F9" s="818">
        <v>150.6</v>
      </c>
      <c r="G9" s="816">
        <v>10.64</v>
      </c>
      <c r="H9" s="817">
        <v>1.91</v>
      </c>
      <c r="I9" s="265">
        <v>12.55</v>
      </c>
    </row>
    <row r="10" spans="1:9" ht="31.2" x14ac:dyDescent="0.35">
      <c r="A10" s="262" t="s">
        <v>38</v>
      </c>
      <c r="B10" s="255" t="s">
        <v>48</v>
      </c>
      <c r="C10" s="264" t="s">
        <v>40</v>
      </c>
      <c r="D10" s="816">
        <v>172.88</v>
      </c>
      <c r="E10" s="817">
        <v>31.12</v>
      </c>
      <c r="F10" s="818">
        <v>204</v>
      </c>
      <c r="G10" s="816">
        <v>14.41</v>
      </c>
      <c r="H10" s="817">
        <v>2.59</v>
      </c>
      <c r="I10" s="265">
        <v>17</v>
      </c>
    </row>
    <row r="11" spans="1:9" ht="17.399999999999999" x14ac:dyDescent="0.35">
      <c r="A11" s="262" t="s">
        <v>49</v>
      </c>
      <c r="B11" s="263" t="s">
        <v>50</v>
      </c>
      <c r="C11" s="264" t="s">
        <v>45</v>
      </c>
      <c r="D11" s="816">
        <v>84.41</v>
      </c>
      <c r="E11" s="817">
        <v>15.19</v>
      </c>
      <c r="F11" s="818">
        <v>99.6</v>
      </c>
      <c r="G11" s="816">
        <v>7.03</v>
      </c>
      <c r="H11" s="817">
        <v>1.27</v>
      </c>
      <c r="I11" s="265">
        <v>8.3000000000000007</v>
      </c>
    </row>
    <row r="12" spans="1:9" ht="17.399999999999999" x14ac:dyDescent="0.35">
      <c r="A12" s="262" t="s">
        <v>51</v>
      </c>
      <c r="B12" s="255" t="s">
        <v>52</v>
      </c>
      <c r="C12" s="264" t="s">
        <v>53</v>
      </c>
      <c r="D12" s="816">
        <v>256.27</v>
      </c>
      <c r="E12" s="817">
        <v>46.13</v>
      </c>
      <c r="F12" s="818">
        <v>302.39999999999998</v>
      </c>
      <c r="G12" s="816">
        <v>21.36</v>
      </c>
      <c r="H12" s="817">
        <v>3.84</v>
      </c>
      <c r="I12" s="265">
        <v>25.2</v>
      </c>
    </row>
    <row r="13" spans="1:9" ht="17.399999999999999" x14ac:dyDescent="0.35">
      <c r="A13" s="262" t="s">
        <v>55</v>
      </c>
      <c r="B13" s="263" t="s">
        <v>56</v>
      </c>
      <c r="C13" s="264" t="s">
        <v>45</v>
      </c>
      <c r="D13" s="816">
        <v>145.93</v>
      </c>
      <c r="E13" s="817">
        <v>26.27</v>
      </c>
      <c r="F13" s="818">
        <v>172.2</v>
      </c>
      <c r="G13" s="816">
        <v>12.16</v>
      </c>
      <c r="H13" s="817">
        <v>2.19</v>
      </c>
      <c r="I13" s="265">
        <v>14.35</v>
      </c>
    </row>
    <row r="14" spans="1:9" ht="17.399999999999999" x14ac:dyDescent="0.35">
      <c r="A14" s="262" t="s">
        <v>57</v>
      </c>
      <c r="B14" s="255" t="s">
        <v>58</v>
      </c>
      <c r="C14" s="264" t="s">
        <v>45</v>
      </c>
      <c r="D14" s="816">
        <v>246.1</v>
      </c>
      <c r="E14" s="817">
        <v>44.3</v>
      </c>
      <c r="F14" s="818">
        <v>290.39999999999998</v>
      </c>
      <c r="G14" s="816">
        <v>20.51</v>
      </c>
      <c r="H14" s="817">
        <v>3.69</v>
      </c>
      <c r="I14" s="265">
        <v>24.2</v>
      </c>
    </row>
    <row r="15" spans="1:9" ht="15.75" customHeight="1" x14ac:dyDescent="0.35">
      <c r="A15" s="262" t="s">
        <v>59</v>
      </c>
      <c r="B15" s="255" t="s">
        <v>60</v>
      </c>
      <c r="C15" s="264" t="s">
        <v>45</v>
      </c>
      <c r="D15" s="816">
        <v>515.08000000000004</v>
      </c>
      <c r="E15" s="817">
        <v>92.72</v>
      </c>
      <c r="F15" s="818">
        <v>607.79999999999995</v>
      </c>
      <c r="G15" s="816">
        <v>42.92</v>
      </c>
      <c r="H15" s="817">
        <v>7.73</v>
      </c>
      <c r="I15" s="265">
        <v>50.65</v>
      </c>
    </row>
    <row r="16" spans="1:9" ht="31.2" x14ac:dyDescent="0.35">
      <c r="A16" s="262" t="s">
        <v>61</v>
      </c>
      <c r="B16" s="255" t="s">
        <v>62</v>
      </c>
      <c r="C16" s="264" t="s">
        <v>45</v>
      </c>
      <c r="D16" s="816">
        <v>859.32</v>
      </c>
      <c r="E16" s="817">
        <v>154.68</v>
      </c>
      <c r="F16" s="818">
        <v>1014</v>
      </c>
      <c r="G16" s="816">
        <v>71.61</v>
      </c>
      <c r="H16" s="817">
        <v>12.89</v>
      </c>
      <c r="I16" s="265">
        <v>84.5</v>
      </c>
    </row>
    <row r="17" spans="1:9" ht="17.399999999999999" x14ac:dyDescent="0.35">
      <c r="A17" s="262" t="s">
        <v>63</v>
      </c>
      <c r="B17" s="263" t="s">
        <v>64</v>
      </c>
      <c r="C17" s="264" t="s">
        <v>65</v>
      </c>
      <c r="D17" s="816">
        <v>121.02</v>
      </c>
      <c r="E17" s="817">
        <v>21.78</v>
      </c>
      <c r="F17" s="818">
        <v>142.80000000000001</v>
      </c>
      <c r="G17" s="816">
        <v>10.08</v>
      </c>
      <c r="H17" s="817">
        <v>1.82</v>
      </c>
      <c r="I17" s="265">
        <v>11.9</v>
      </c>
    </row>
    <row r="18" spans="1:9" ht="31.2" x14ac:dyDescent="0.35">
      <c r="A18" s="262" t="s">
        <v>66</v>
      </c>
      <c r="B18" s="255" t="s">
        <v>203</v>
      </c>
      <c r="C18" s="271" t="s">
        <v>204</v>
      </c>
      <c r="D18" s="816">
        <v>68.14</v>
      </c>
      <c r="E18" s="817">
        <v>12.26</v>
      </c>
      <c r="F18" s="818">
        <v>80.400000000000006</v>
      </c>
      <c r="G18" s="816">
        <v>5.68</v>
      </c>
      <c r="H18" s="817">
        <v>1.02</v>
      </c>
      <c r="I18" s="265">
        <v>6.7</v>
      </c>
    </row>
    <row r="19" spans="1:9" ht="17.399999999999999" x14ac:dyDescent="0.35">
      <c r="A19" s="262" t="s">
        <v>68</v>
      </c>
      <c r="B19" s="255" t="s">
        <v>231</v>
      </c>
      <c r="C19" s="271" t="s">
        <v>204</v>
      </c>
      <c r="D19" s="816">
        <v>40.68</v>
      </c>
      <c r="E19" s="817">
        <v>7.32</v>
      </c>
      <c r="F19" s="818">
        <v>48</v>
      </c>
      <c r="G19" s="816">
        <v>3.39</v>
      </c>
      <c r="H19" s="817">
        <v>0.61</v>
      </c>
      <c r="I19" s="265">
        <v>4</v>
      </c>
    </row>
    <row r="20" spans="1:9" ht="33" customHeight="1" x14ac:dyDescent="0.35">
      <c r="A20" s="262" t="s">
        <v>71</v>
      </c>
      <c r="B20" s="255" t="s">
        <v>206</v>
      </c>
      <c r="C20" s="266" t="s">
        <v>73</v>
      </c>
      <c r="D20" s="816">
        <v>55.93</v>
      </c>
      <c r="E20" s="817">
        <v>10.07</v>
      </c>
      <c r="F20" s="818">
        <v>66</v>
      </c>
      <c r="G20" s="816">
        <v>4.66</v>
      </c>
      <c r="H20" s="817">
        <v>0.84</v>
      </c>
      <c r="I20" s="265">
        <v>5.5</v>
      </c>
    </row>
    <row r="21" spans="1:9" ht="17.399999999999999" x14ac:dyDescent="0.35">
      <c r="A21" s="262" t="s">
        <v>104</v>
      </c>
      <c r="B21" s="255" t="s">
        <v>75</v>
      </c>
      <c r="C21" s="264" t="s">
        <v>207</v>
      </c>
      <c r="D21" s="816">
        <v>24.41</v>
      </c>
      <c r="E21" s="817">
        <v>4.3899999999999997</v>
      </c>
      <c r="F21" s="818">
        <v>28.8</v>
      </c>
      <c r="G21" s="816">
        <v>2.0299999999999998</v>
      </c>
      <c r="H21" s="817">
        <v>0.37</v>
      </c>
      <c r="I21" s="265">
        <v>2.4</v>
      </c>
    </row>
    <row r="22" spans="1:9" ht="17.399999999999999" x14ac:dyDescent="0.35">
      <c r="A22" s="262" t="s">
        <v>211</v>
      </c>
      <c r="B22" s="255" t="s">
        <v>105</v>
      </c>
      <c r="C22" s="264" t="s">
        <v>45</v>
      </c>
      <c r="D22" s="816">
        <v>0</v>
      </c>
      <c r="E22" s="817">
        <v>0</v>
      </c>
      <c r="F22" s="818">
        <v>0</v>
      </c>
      <c r="G22" s="816">
        <v>0</v>
      </c>
      <c r="H22" s="817">
        <v>0</v>
      </c>
      <c r="I22" s="265"/>
    </row>
    <row r="23" spans="1:9" ht="17.399999999999999" x14ac:dyDescent="0.35">
      <c r="A23" s="262" t="s">
        <v>212</v>
      </c>
      <c r="B23" s="267" t="s">
        <v>106</v>
      </c>
      <c r="C23" s="264" t="s">
        <v>45</v>
      </c>
      <c r="D23" s="816">
        <v>5.59</v>
      </c>
      <c r="E23" s="817">
        <v>1.01</v>
      </c>
      <c r="F23" s="818">
        <v>6.6</v>
      </c>
      <c r="G23" s="816">
        <v>0.47</v>
      </c>
      <c r="H23" s="817">
        <v>0.08</v>
      </c>
      <c r="I23" s="265">
        <v>0.55000000000000004</v>
      </c>
    </row>
    <row r="24" spans="1:9" ht="17.399999999999999" x14ac:dyDescent="0.35">
      <c r="A24" s="262" t="s">
        <v>213</v>
      </c>
      <c r="B24" s="267" t="s">
        <v>107</v>
      </c>
      <c r="C24" s="264" t="s">
        <v>45</v>
      </c>
      <c r="D24" s="816">
        <v>6.61</v>
      </c>
      <c r="E24" s="817">
        <v>1.19</v>
      </c>
      <c r="F24" s="818">
        <v>7.8</v>
      </c>
      <c r="G24" s="816">
        <v>0.55000000000000004</v>
      </c>
      <c r="H24" s="817">
        <v>0.1</v>
      </c>
      <c r="I24" s="265">
        <v>0.65</v>
      </c>
    </row>
    <row r="25" spans="1:9" ht="17.399999999999999" x14ac:dyDescent="0.35">
      <c r="A25" s="262" t="s">
        <v>214</v>
      </c>
      <c r="B25" s="267" t="s">
        <v>108</v>
      </c>
      <c r="C25" s="264" t="s">
        <v>45</v>
      </c>
      <c r="D25" s="816">
        <v>9.15</v>
      </c>
      <c r="E25" s="817">
        <v>1.65</v>
      </c>
      <c r="F25" s="818">
        <v>10.8</v>
      </c>
      <c r="G25" s="816">
        <v>0.76</v>
      </c>
      <c r="H25" s="817">
        <v>0.14000000000000001</v>
      </c>
      <c r="I25" s="265">
        <v>0.9</v>
      </c>
    </row>
    <row r="26" spans="1:9" ht="17.399999999999999" x14ac:dyDescent="0.35">
      <c r="A26" s="262" t="s">
        <v>215</v>
      </c>
      <c r="B26" s="267" t="s">
        <v>208</v>
      </c>
      <c r="C26" s="264" t="s">
        <v>45</v>
      </c>
      <c r="D26" s="816">
        <v>12.71</v>
      </c>
      <c r="E26" s="817">
        <v>2.29</v>
      </c>
      <c r="F26" s="818">
        <v>15</v>
      </c>
      <c r="G26" s="816">
        <v>1.06</v>
      </c>
      <c r="H26" s="817">
        <v>0.19</v>
      </c>
      <c r="I26" s="265">
        <v>1.25</v>
      </c>
    </row>
    <row r="27" spans="1:9" ht="17.399999999999999" x14ac:dyDescent="0.35">
      <c r="A27" s="262" t="s">
        <v>1474</v>
      </c>
      <c r="B27" s="267" t="s">
        <v>1473</v>
      </c>
      <c r="C27" s="264" t="s">
        <v>45</v>
      </c>
      <c r="D27" s="816">
        <v>17.29</v>
      </c>
      <c r="E27" s="817">
        <v>3.11</v>
      </c>
      <c r="F27" s="818">
        <v>20.399999999999999</v>
      </c>
      <c r="G27" s="816">
        <v>1.44</v>
      </c>
      <c r="H27" s="817">
        <v>0.26</v>
      </c>
      <c r="I27" s="265">
        <v>1.7</v>
      </c>
    </row>
    <row r="28" spans="1:9" ht="31.5" customHeight="1" x14ac:dyDescent="0.35">
      <c r="A28" s="262" t="s">
        <v>94</v>
      </c>
      <c r="B28" s="268" t="s">
        <v>209</v>
      </c>
      <c r="C28" s="315" t="s">
        <v>91</v>
      </c>
      <c r="D28" s="816">
        <v>0</v>
      </c>
      <c r="E28" s="817">
        <v>0</v>
      </c>
      <c r="F28" s="818">
        <v>0</v>
      </c>
      <c r="G28" s="816">
        <v>0</v>
      </c>
      <c r="H28" s="817">
        <v>0</v>
      </c>
      <c r="I28" s="265"/>
    </row>
    <row r="29" spans="1:9" ht="17.399999999999999" x14ac:dyDescent="0.35">
      <c r="A29" s="262" t="s">
        <v>216</v>
      </c>
      <c r="B29" s="272" t="s">
        <v>92</v>
      </c>
      <c r="C29" s="254" t="s">
        <v>45</v>
      </c>
      <c r="D29" s="816">
        <v>249.15</v>
      </c>
      <c r="E29" s="817">
        <v>44.85</v>
      </c>
      <c r="F29" s="818">
        <v>294</v>
      </c>
      <c r="G29" s="816">
        <v>20.76</v>
      </c>
      <c r="H29" s="817">
        <v>3.74</v>
      </c>
      <c r="I29" s="265">
        <v>24.5</v>
      </c>
    </row>
    <row r="30" spans="1:9" ht="17.399999999999999" x14ac:dyDescent="0.35">
      <c r="A30" s="262" t="s">
        <v>217</v>
      </c>
      <c r="B30" s="273" t="s">
        <v>93</v>
      </c>
      <c r="C30" s="254" t="s">
        <v>45</v>
      </c>
      <c r="D30" s="816">
        <v>312.70999999999998</v>
      </c>
      <c r="E30" s="817">
        <v>56.29</v>
      </c>
      <c r="F30" s="818">
        <v>369</v>
      </c>
      <c r="G30" s="816">
        <v>26.06</v>
      </c>
      <c r="H30" s="817">
        <v>4.6900000000000004</v>
      </c>
      <c r="I30" s="265">
        <v>30.75</v>
      </c>
    </row>
    <row r="31" spans="1:9" ht="31.2" x14ac:dyDescent="0.35">
      <c r="A31" s="262" t="s">
        <v>95</v>
      </c>
      <c r="B31" s="268" t="s">
        <v>122</v>
      </c>
      <c r="C31" s="269" t="s">
        <v>88</v>
      </c>
      <c r="D31" s="816">
        <v>126.61</v>
      </c>
      <c r="E31" s="817">
        <v>22.79</v>
      </c>
      <c r="F31" s="818">
        <v>149.4</v>
      </c>
      <c r="G31" s="816">
        <v>10.55</v>
      </c>
      <c r="H31" s="817">
        <v>1.9</v>
      </c>
      <c r="I31" s="265">
        <v>12.45</v>
      </c>
    </row>
    <row r="32" spans="1:9" ht="15" customHeight="1" x14ac:dyDescent="0.35">
      <c r="A32" s="835" t="s">
        <v>1455</v>
      </c>
      <c r="B32" s="836" t="s">
        <v>1468</v>
      </c>
      <c r="C32" s="254" t="s">
        <v>40</v>
      </c>
      <c r="D32" s="816">
        <v>144.41</v>
      </c>
      <c r="E32" s="817">
        <v>25.99</v>
      </c>
      <c r="F32" s="818">
        <v>170.4</v>
      </c>
      <c r="G32" s="816">
        <v>12.03</v>
      </c>
      <c r="H32" s="817">
        <v>2.17</v>
      </c>
      <c r="I32" s="265">
        <v>14.2</v>
      </c>
    </row>
    <row r="33" spans="1:9" ht="15" customHeight="1" x14ac:dyDescent="0.3">
      <c r="A33" s="262" t="s">
        <v>1456</v>
      </c>
      <c r="B33" s="836" t="s">
        <v>1465</v>
      </c>
      <c r="C33" s="254"/>
      <c r="D33" s="837"/>
      <c r="E33" s="838"/>
      <c r="F33" s="839"/>
      <c r="G33" s="840"/>
      <c r="H33" s="838"/>
      <c r="I33" s="839"/>
    </row>
    <row r="34" spans="1:9" ht="15" customHeight="1" x14ac:dyDescent="0.35">
      <c r="A34" s="262" t="s">
        <v>1461</v>
      </c>
      <c r="B34" s="267" t="s">
        <v>1469</v>
      </c>
      <c r="C34" s="254" t="s">
        <v>40</v>
      </c>
      <c r="D34" s="816">
        <v>28.98</v>
      </c>
      <c r="E34" s="817">
        <v>5.22</v>
      </c>
      <c r="F34" s="818">
        <v>34.200000000000003</v>
      </c>
      <c r="G34" s="816">
        <v>2.42</v>
      </c>
      <c r="H34" s="817">
        <v>0.43</v>
      </c>
      <c r="I34" s="265">
        <v>2.85</v>
      </c>
    </row>
    <row r="35" spans="1:9" ht="15" customHeight="1" x14ac:dyDescent="0.35">
      <c r="A35" s="262" t="s">
        <v>1462</v>
      </c>
      <c r="B35" s="267" t="s">
        <v>1470</v>
      </c>
      <c r="C35" s="254" t="s">
        <v>45</v>
      </c>
      <c r="D35" s="816">
        <v>37.119999999999997</v>
      </c>
      <c r="E35" s="817">
        <v>6.68</v>
      </c>
      <c r="F35" s="818">
        <v>43.8</v>
      </c>
      <c r="G35" s="816">
        <v>3.09</v>
      </c>
      <c r="H35" s="817">
        <v>0.56000000000000005</v>
      </c>
      <c r="I35" s="265">
        <v>3.65</v>
      </c>
    </row>
    <row r="36" spans="1:9" ht="15" customHeight="1" x14ac:dyDescent="0.35">
      <c r="A36" s="262" t="s">
        <v>1463</v>
      </c>
      <c r="B36" s="267" t="s">
        <v>1471</v>
      </c>
      <c r="C36" s="254" t="s">
        <v>45</v>
      </c>
      <c r="D36" s="816">
        <v>43.73</v>
      </c>
      <c r="E36" s="817">
        <v>7.87</v>
      </c>
      <c r="F36" s="818">
        <v>51.6</v>
      </c>
      <c r="G36" s="816">
        <v>3.64</v>
      </c>
      <c r="H36" s="817">
        <v>0.66</v>
      </c>
      <c r="I36" s="265">
        <v>4.3</v>
      </c>
    </row>
    <row r="37" spans="1:9" ht="15" customHeight="1" x14ac:dyDescent="0.35">
      <c r="A37" s="262" t="s">
        <v>1464</v>
      </c>
      <c r="B37" s="267" t="s">
        <v>1472</v>
      </c>
      <c r="C37" s="254" t="s">
        <v>45</v>
      </c>
      <c r="D37" s="816">
        <v>48.81</v>
      </c>
      <c r="E37" s="817">
        <v>8.7899999999999991</v>
      </c>
      <c r="F37" s="818">
        <v>57.6</v>
      </c>
      <c r="G37" s="816">
        <v>4.07</v>
      </c>
      <c r="H37" s="817">
        <v>0.73</v>
      </c>
      <c r="I37" s="265">
        <v>4.8</v>
      </c>
    </row>
    <row r="38" spans="1:9" ht="15" customHeight="1" thickBot="1" x14ac:dyDescent="0.4">
      <c r="A38" s="841">
        <v>21</v>
      </c>
      <c r="B38" s="842" t="s">
        <v>1466</v>
      </c>
      <c r="C38" s="843" t="s">
        <v>1467</v>
      </c>
      <c r="D38" s="827">
        <v>84.41</v>
      </c>
      <c r="E38" s="828">
        <v>15.19</v>
      </c>
      <c r="F38" s="829">
        <v>99.6</v>
      </c>
      <c r="G38" s="827">
        <v>7.03</v>
      </c>
      <c r="H38" s="828">
        <v>1.27</v>
      </c>
      <c r="I38" s="830">
        <v>8.3000000000000007</v>
      </c>
    </row>
    <row r="39" spans="1:9" ht="6.75" customHeight="1" x14ac:dyDescent="0.3">
      <c r="A39" s="96"/>
      <c r="B39" s="97"/>
      <c r="C39" s="48"/>
      <c r="D39" s="46"/>
      <c r="E39" s="46"/>
      <c r="F39" s="46"/>
      <c r="G39" s="46"/>
      <c r="H39" s="46"/>
      <c r="I39" s="46"/>
    </row>
    <row r="40" spans="1:9" s="270" customFormat="1" ht="46.5" customHeight="1" x14ac:dyDescent="0.3">
      <c r="A40" s="845" t="s">
        <v>1475</v>
      </c>
      <c r="B40" s="845"/>
      <c r="C40" s="845"/>
      <c r="D40" s="845"/>
      <c r="E40" s="845"/>
      <c r="F40" s="845"/>
      <c r="G40" s="845"/>
      <c r="H40" s="845"/>
      <c r="I40" s="845"/>
    </row>
    <row r="41" spans="1:9" ht="15.75" customHeight="1" x14ac:dyDescent="0.3">
      <c r="A41" s="846"/>
      <c r="B41" s="846"/>
      <c r="C41" s="846"/>
      <c r="D41" s="846"/>
      <c r="E41" s="846"/>
      <c r="F41" s="846"/>
      <c r="G41" s="846"/>
      <c r="H41" s="846"/>
      <c r="I41" s="846"/>
    </row>
    <row r="42" spans="1:9" x14ac:dyDescent="0.3">
      <c r="A42" s="98"/>
      <c r="B42" s="261"/>
      <c r="C42" s="48"/>
      <c r="D42" s="49"/>
      <c r="E42" s="49"/>
      <c r="F42" s="49"/>
      <c r="G42" s="49"/>
      <c r="H42" s="49"/>
      <c r="I42" s="49"/>
    </row>
    <row r="43" spans="1:9" x14ac:dyDescent="0.3">
      <c r="A43" s="98"/>
      <c r="C43" s="48"/>
      <c r="D43" s="49"/>
      <c r="E43" s="49"/>
      <c r="F43" s="49"/>
      <c r="G43" s="49"/>
      <c r="H43" s="49"/>
      <c r="I43" s="49"/>
    </row>
    <row r="44" spans="1:9" x14ac:dyDescent="0.3">
      <c r="A44" s="98"/>
      <c r="B44" s="50" t="s">
        <v>79</v>
      </c>
      <c r="C44" s="48"/>
      <c r="D44" s="50"/>
      <c r="E44" s="50"/>
      <c r="F44" s="49"/>
      <c r="G44" s="49"/>
      <c r="H44" s="49"/>
      <c r="I44" s="50"/>
    </row>
    <row r="45" spans="1:9" s="50" customFormat="1" ht="12.75" customHeight="1" x14ac:dyDescent="0.3">
      <c r="A45" s="48"/>
      <c r="B45" s="261"/>
    </row>
  </sheetData>
  <sheetProtection selectLockedCells="1" selectUnlockedCells="1"/>
  <autoFilter ref="A6:I38"/>
  <mergeCells count="10">
    <mergeCell ref="A40:I40"/>
    <mergeCell ref="A41:I41"/>
    <mergeCell ref="A1:I1"/>
    <mergeCell ref="A2:I2"/>
    <mergeCell ref="A3:I3"/>
    <mergeCell ref="A4:A5"/>
    <mergeCell ref="B4:B5"/>
    <mergeCell ref="C4:C5"/>
    <mergeCell ref="D4:F4"/>
    <mergeCell ref="G4:I4"/>
  </mergeCells>
  <printOptions horizontalCentered="1"/>
  <pageMargins left="0" right="0" top="0" bottom="0" header="0.51181102362204722" footer="0.51181102362204722"/>
  <pageSetup paperSize="9" scale="62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33" t="s">
        <v>184</v>
      </c>
      <c r="C6" s="1033"/>
      <c r="D6" s="1033"/>
      <c r="E6" s="1033"/>
      <c r="F6" s="1033"/>
      <c r="G6" s="1033"/>
      <c r="H6" s="1033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2">
        <v>2</v>
      </c>
      <c r="C10" s="1032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1025" t="s">
        <v>181</v>
      </c>
      <c r="C20" s="1025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1034" t="s">
        <v>182</v>
      </c>
      <c r="C21" s="1034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58*36</f>
        <v>2088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6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33" t="s">
        <v>185</v>
      </c>
      <c r="C6" s="1033"/>
      <c r="D6" s="1033"/>
      <c r="E6" s="1033"/>
      <c r="F6" s="1033"/>
      <c r="G6" s="1033"/>
      <c r="H6" s="1033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2">
        <v>2</v>
      </c>
      <c r="C10" s="1032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f>65/10</f>
        <v>6.5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f>32/10</f>
        <v>3.2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f>11/10</f>
        <v>1.1000000000000001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213" t="s">
        <v>164</v>
      </c>
      <c r="C19" s="213"/>
      <c r="D19" s="212"/>
      <c r="E19" s="212">
        <v>4</v>
      </c>
      <c r="F19" s="182" t="e">
        <f>'1 этаж (2011)'!F19</f>
        <v>#REF!</v>
      </c>
      <c r="G19" s="212">
        <v>36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1025" t="s">
        <v>181</v>
      </c>
      <c r="C20" s="1025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26" customFormat="1" x14ac:dyDescent="0.3">
      <c r="A21" s="223">
        <v>11</v>
      </c>
      <c r="B21" s="1034" t="s">
        <v>182</v>
      </c>
      <c r="C21" s="1034"/>
      <c r="D21" s="224"/>
      <c r="E21" s="223"/>
      <c r="F21" s="223"/>
      <c r="G21" s="223"/>
      <c r="H21" s="225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58*36</f>
        <v>2088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6">
    <mergeCell ref="A24:I24"/>
    <mergeCell ref="A5:I5"/>
    <mergeCell ref="B13:C13"/>
    <mergeCell ref="B14:C14"/>
    <mergeCell ref="B9:C9"/>
    <mergeCell ref="B10:C10"/>
    <mergeCell ref="B11:C11"/>
    <mergeCell ref="B12:C12"/>
    <mergeCell ref="B20:C20"/>
    <mergeCell ref="B17:C17"/>
    <mergeCell ref="B6:H6"/>
    <mergeCell ref="B8:I8"/>
    <mergeCell ref="B21:C21"/>
    <mergeCell ref="B15:C15"/>
    <mergeCell ref="B16:C16"/>
    <mergeCell ref="B18:C18"/>
  </mergeCells>
  <phoneticPr fontId="16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4:J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19921875" style="203" customWidth="1"/>
    <col min="10" max="16384" width="8" style="203"/>
  </cols>
  <sheetData>
    <row r="4" spans="1:10" x14ac:dyDescent="0.3">
      <c r="F4" s="204"/>
      <c r="G4" s="204"/>
      <c r="H4" s="204"/>
      <c r="I4" s="205"/>
    </row>
    <row r="5" spans="1:10" ht="15.75" customHeight="1" x14ac:dyDescent="0.3">
      <c r="A5" s="1017" t="s">
        <v>166</v>
      </c>
      <c r="B5" s="1017"/>
      <c r="C5" s="1017"/>
      <c r="D5" s="1017"/>
      <c r="E5" s="1017"/>
      <c r="F5" s="1017"/>
      <c r="G5" s="1017"/>
      <c r="H5" s="1017"/>
      <c r="I5" s="1017"/>
      <c r="J5" s="173"/>
    </row>
    <row r="6" spans="1:10" x14ac:dyDescent="0.3">
      <c r="A6" s="1027" t="s">
        <v>186</v>
      </c>
      <c r="B6" s="1027"/>
      <c r="C6" s="1027"/>
      <c r="D6" s="1027"/>
      <c r="E6" s="1027"/>
      <c r="F6" s="1027"/>
      <c r="G6" s="1027"/>
      <c r="H6" s="1027"/>
      <c r="I6" s="1027"/>
    </row>
    <row r="7" spans="1:10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10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10" ht="96.75" customHeight="1" x14ac:dyDescent="0.3">
      <c r="A9" s="209" t="s">
        <v>7</v>
      </c>
      <c r="B9" s="1032" t="s">
        <v>147</v>
      </c>
      <c r="C9" s="1032"/>
      <c r="D9" s="210" t="s">
        <v>9</v>
      </c>
      <c r="E9" s="210" t="s">
        <v>148</v>
      </c>
      <c r="F9" s="210" t="s">
        <v>149</v>
      </c>
      <c r="G9" s="210" t="s">
        <v>150</v>
      </c>
      <c r="H9" s="210" t="s">
        <v>151</v>
      </c>
      <c r="I9" s="210" t="s">
        <v>152</v>
      </c>
    </row>
    <row r="10" spans="1:10" s="211" customFormat="1" ht="12" customHeight="1" x14ac:dyDescent="0.3">
      <c r="A10" s="210">
        <v>1</v>
      </c>
      <c r="B10" s="1032">
        <v>2</v>
      </c>
      <c r="C10" s="1032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10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v>7.2</v>
      </c>
      <c r="H11" s="169" t="e">
        <f>F11*G11</f>
        <v>#REF!</v>
      </c>
      <c r="I11" s="201" t="e">
        <f t="shared" ref="I11:I21" si="0">H11/1.18*0.18</f>
        <v>#REF!</v>
      </c>
    </row>
    <row r="12" spans="1:10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v>3.6</v>
      </c>
      <c r="H12" s="169" t="e">
        <f>F12*G12</f>
        <v>#REF!</v>
      </c>
      <c r="I12" s="201" t="e">
        <f t="shared" si="0"/>
        <v>#REF!</v>
      </c>
    </row>
    <row r="13" spans="1:10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v>1.2</v>
      </c>
      <c r="H13" s="169" t="e">
        <f>F13*G13</f>
        <v>#REF!</v>
      </c>
      <c r="I13" s="201" t="e">
        <f t="shared" si="0"/>
        <v>#REF!</v>
      </c>
    </row>
    <row r="14" spans="1:10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10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/>
      <c r="F15" s="182" t="e">
        <f>'1 этаж (2011)'!F15</f>
        <v>#REF!</v>
      </c>
      <c r="G15" s="212"/>
      <c r="H15" s="169"/>
      <c r="I15" s="201">
        <f t="shared" si="0"/>
        <v>0</v>
      </c>
    </row>
    <row r="16" spans="1:10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/>
      <c r="H16" s="169"/>
      <c r="I16" s="201">
        <f t="shared" si="0"/>
        <v>0</v>
      </c>
    </row>
    <row r="17" spans="1:10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>
        <v>2</v>
      </c>
      <c r="F17" s="182" t="e">
        <f>'1 этаж (2011)'!F17</f>
        <v>#REF!</v>
      </c>
      <c r="G17" s="212">
        <v>4</v>
      </c>
      <c r="H17" s="169" t="e">
        <f>F17*G17</f>
        <v>#REF!</v>
      </c>
      <c r="I17" s="201" t="e">
        <f t="shared" si="0"/>
        <v>#REF!</v>
      </c>
    </row>
    <row r="18" spans="1:10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0"/>
        <v>#REF!</v>
      </c>
    </row>
    <row r="19" spans="1:10" s="215" customFormat="1" x14ac:dyDescent="0.3">
      <c r="A19" s="212">
        <v>9</v>
      </c>
      <c r="B19" s="1026" t="s">
        <v>164</v>
      </c>
      <c r="C19" s="1026"/>
      <c r="D19" s="212"/>
      <c r="E19" s="212">
        <v>4</v>
      </c>
      <c r="F19" s="182" t="e">
        <f>'1 этаж (2011)'!F19</f>
        <v>#REF!</v>
      </c>
      <c r="G19" s="212">
        <v>40</v>
      </c>
      <c r="H19" s="169" t="e">
        <f>F19*G19</f>
        <v>#REF!</v>
      </c>
      <c r="I19" s="201" t="e">
        <f t="shared" si="0"/>
        <v>#REF!</v>
      </c>
    </row>
    <row r="20" spans="1:10" s="215" customFormat="1" x14ac:dyDescent="0.3">
      <c r="A20" s="212">
        <v>10</v>
      </c>
      <c r="B20" s="1025" t="s">
        <v>181</v>
      </c>
      <c r="C20" s="1025"/>
      <c r="D20" s="212" t="s">
        <v>165</v>
      </c>
      <c r="E20" s="212">
        <v>6</v>
      </c>
      <c r="F20" s="201" t="e">
        <f>#REF!</f>
        <v>#REF!</v>
      </c>
      <c r="G20" s="212">
        <f>G17</f>
        <v>4</v>
      </c>
      <c r="H20" s="169" t="e">
        <f>F20*G20</f>
        <v>#REF!</v>
      </c>
      <c r="I20" s="201" t="e">
        <f t="shared" si="0"/>
        <v>#REF!</v>
      </c>
    </row>
    <row r="21" spans="1:10" s="215" customFormat="1" x14ac:dyDescent="0.3">
      <c r="A21" s="212">
        <v>11</v>
      </c>
      <c r="B21" s="1035" t="s">
        <v>153</v>
      </c>
      <c r="C21" s="1035"/>
      <c r="D21" s="229"/>
      <c r="E21" s="228"/>
      <c r="F21" s="228"/>
      <c r="G21" s="228"/>
      <c r="H21" s="230" t="e">
        <f>SUM(H11:H20)</f>
        <v>#REF!</v>
      </c>
      <c r="I21" s="202" t="e">
        <f t="shared" si="0"/>
        <v>#REF!</v>
      </c>
    </row>
    <row r="22" spans="1:10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3" spans="1:10" ht="17.25" customHeight="1" x14ac:dyDescent="0.3">
      <c r="J23" s="227"/>
    </row>
    <row r="24" spans="1:10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10" s="171" customFormat="1" ht="18" customHeight="1" x14ac:dyDescent="0.3"/>
    <row r="26" spans="1:10" s="171" customFormat="1" x14ac:dyDescent="0.3">
      <c r="F26" s="194"/>
      <c r="G26" s="195"/>
      <c r="H26" s="196"/>
    </row>
    <row r="27" spans="1:10" s="171" customFormat="1" x14ac:dyDescent="0.3">
      <c r="A27" s="197"/>
      <c r="G27" s="195"/>
      <c r="H27" s="196"/>
    </row>
    <row r="28" spans="1:10" s="171" customFormat="1" ht="18.600000000000001" x14ac:dyDescent="0.3">
      <c r="A28" s="197" t="s">
        <v>173</v>
      </c>
      <c r="F28" s="198">
        <f>55*G19</f>
        <v>2200</v>
      </c>
      <c r="G28" s="171" t="s">
        <v>194</v>
      </c>
    </row>
    <row r="29" spans="1:10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B15:C15"/>
    <mergeCell ref="B16:C16"/>
    <mergeCell ref="B18:C18"/>
    <mergeCell ref="A24:I24"/>
    <mergeCell ref="B19:C19"/>
    <mergeCell ref="A5:I5"/>
    <mergeCell ref="A6:I6"/>
    <mergeCell ref="B8:I8"/>
    <mergeCell ref="B21:C21"/>
    <mergeCell ref="B9:C9"/>
    <mergeCell ref="B10:C10"/>
    <mergeCell ref="B11:C11"/>
    <mergeCell ref="B12:C12"/>
    <mergeCell ref="B20:C20"/>
    <mergeCell ref="B17:C17"/>
    <mergeCell ref="B13:C13"/>
    <mergeCell ref="B14:C14"/>
  </mergeCells>
  <phoneticPr fontId="16" type="noConversion"/>
  <printOptions horizontalCentered="1"/>
  <pageMargins left="0" right="0" top="0" bottom="0" header="0.31496062992125984" footer="0"/>
  <pageSetup paperSize="9" scale="83" fitToHeight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0" t="s">
        <v>187</v>
      </c>
      <c r="C6" s="1020"/>
      <c r="D6" s="1020"/>
      <c r="E6" s="1020"/>
      <c r="F6" s="1020"/>
      <c r="G6" s="1020"/>
      <c r="H6" s="1020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1021" t="s">
        <v>146</v>
      </c>
      <c r="C8" s="1021"/>
      <c r="D8" s="1021"/>
      <c r="E8" s="1021"/>
      <c r="F8" s="1021"/>
      <c r="G8" s="1021"/>
      <c r="H8" s="1021"/>
      <c r="I8" s="1021"/>
    </row>
    <row r="9" spans="1:9" ht="93.6" x14ac:dyDescent="0.3">
      <c r="A9" s="177" t="s">
        <v>7</v>
      </c>
      <c r="B9" s="1023" t="s">
        <v>147</v>
      </c>
      <c r="C9" s="1024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1023">
        <v>2</v>
      </c>
      <c r="C10" s="1024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1015" t="s">
        <v>154</v>
      </c>
      <c r="C11" s="1016"/>
      <c r="D11" s="181" t="s">
        <v>155</v>
      </c>
      <c r="E11" s="180">
        <v>1</v>
      </c>
      <c r="F11" s="182" t="e">
        <f>'1 этаж (2011)'!F11</f>
        <v>#REF!</v>
      </c>
      <c r="G11" s="180">
        <v>0.8</v>
      </c>
      <c r="H11" s="183" t="e">
        <f>F11*G11</f>
        <v>#REF!</v>
      </c>
      <c r="I11" s="182" t="e">
        <f t="shared" ref="I11:I21" si="0">H11/1.18*0.18</f>
        <v>#REF!</v>
      </c>
    </row>
    <row r="12" spans="1:9" s="184" customFormat="1" x14ac:dyDescent="0.3">
      <c r="A12" s="180">
        <v>2</v>
      </c>
      <c r="B12" s="1015" t="s">
        <v>156</v>
      </c>
      <c r="C12" s="1016"/>
      <c r="D12" s="181" t="s">
        <v>155</v>
      </c>
      <c r="E12" s="180">
        <v>1</v>
      </c>
      <c r="F12" s="182" t="e">
        <f>'1 этаж (2011)'!F12</f>
        <v>#REF!</v>
      </c>
      <c r="G12" s="180">
        <v>0.4</v>
      </c>
      <c r="H12" s="183" t="e">
        <f>F12*G12</f>
        <v>#REF!</v>
      </c>
      <c r="I12" s="182" t="e">
        <f t="shared" si="0"/>
        <v>#REF!</v>
      </c>
    </row>
    <row r="13" spans="1:9" s="184" customFormat="1" x14ac:dyDescent="0.3">
      <c r="A13" s="180">
        <v>3</v>
      </c>
      <c r="B13" s="1015" t="s">
        <v>157</v>
      </c>
      <c r="C13" s="1016"/>
      <c r="D13" s="181" t="s">
        <v>155</v>
      </c>
      <c r="E13" s="180">
        <v>1</v>
      </c>
      <c r="F13" s="182" t="e">
        <f>'1 этаж (2011)'!F13</f>
        <v>#REF!</v>
      </c>
      <c r="G13" s="180">
        <v>0.1</v>
      </c>
      <c r="H13" s="183" t="e">
        <f>F13*G13</f>
        <v>#REF!</v>
      </c>
      <c r="I13" s="182" t="e">
        <f t="shared" si="0"/>
        <v>#REF!</v>
      </c>
    </row>
    <row r="14" spans="1:9" s="184" customFormat="1" x14ac:dyDescent="0.3">
      <c r="A14" s="180">
        <v>4</v>
      </c>
      <c r="B14" s="1015" t="s">
        <v>168</v>
      </c>
      <c r="C14" s="1016"/>
      <c r="D14" s="180" t="s">
        <v>88</v>
      </c>
      <c r="E14" s="180">
        <v>2</v>
      </c>
      <c r="F14" s="182" t="e">
        <f>'1 этаж (2011)'!F14</f>
        <v>#REF!</v>
      </c>
      <c r="G14" s="180">
        <v>1</v>
      </c>
      <c r="H14" s="183" t="e">
        <f>F14*G14</f>
        <v>#REF!</v>
      </c>
      <c r="I14" s="182" t="e">
        <f t="shared" si="0"/>
        <v>#REF!</v>
      </c>
    </row>
    <row r="15" spans="1:9" s="184" customFormat="1" x14ac:dyDescent="0.3">
      <c r="A15" s="180">
        <v>5</v>
      </c>
      <c r="B15" s="1015" t="s">
        <v>169</v>
      </c>
      <c r="C15" s="1016"/>
      <c r="D15" s="180" t="s">
        <v>88</v>
      </c>
      <c r="E15" s="180"/>
      <c r="F15" s="182" t="e">
        <f>'1 этаж (2011)'!F15</f>
        <v>#REF!</v>
      </c>
      <c r="G15" s="180"/>
      <c r="H15" s="183"/>
      <c r="I15" s="182">
        <f t="shared" si="0"/>
        <v>0</v>
      </c>
    </row>
    <row r="16" spans="1:9" s="184" customFormat="1" x14ac:dyDescent="0.3">
      <c r="A16" s="180">
        <v>6</v>
      </c>
      <c r="B16" s="1015" t="s">
        <v>170</v>
      </c>
      <c r="C16" s="1016"/>
      <c r="D16" s="180" t="s">
        <v>88</v>
      </c>
      <c r="E16" s="180"/>
      <c r="F16" s="182" t="e">
        <f>'1 этаж (2011)'!F16</f>
        <v>#REF!</v>
      </c>
      <c r="G16" s="180"/>
      <c r="H16" s="183"/>
      <c r="I16" s="182">
        <f t="shared" si="0"/>
        <v>0</v>
      </c>
    </row>
    <row r="17" spans="1:9" s="184" customFormat="1" x14ac:dyDescent="0.3">
      <c r="A17" s="180">
        <v>7</v>
      </c>
      <c r="B17" s="1015" t="s">
        <v>171</v>
      </c>
      <c r="C17" s="1016"/>
      <c r="D17" s="180" t="s">
        <v>88</v>
      </c>
      <c r="E17" s="180"/>
      <c r="F17" s="182" t="e">
        <f>'1 этаж (2011)'!F17</f>
        <v>#REF!</v>
      </c>
      <c r="G17" s="180"/>
      <c r="H17" s="183"/>
      <c r="I17" s="182">
        <f t="shared" si="0"/>
        <v>0</v>
      </c>
    </row>
    <row r="18" spans="1:9" s="184" customFormat="1" x14ac:dyDescent="0.3">
      <c r="A18" s="180">
        <v>8</v>
      </c>
      <c r="B18" s="1015" t="s">
        <v>162</v>
      </c>
      <c r="C18" s="1016"/>
      <c r="D18" s="180" t="s">
        <v>163</v>
      </c>
      <c r="E18" s="180">
        <v>3</v>
      </c>
      <c r="F18" s="182" t="e">
        <f>'1 этаж (2011)'!F18</f>
        <v>#REF!</v>
      </c>
      <c r="G18" s="180">
        <v>1</v>
      </c>
      <c r="H18" s="183" t="e">
        <f>F18*G18</f>
        <v>#REF!</v>
      </c>
      <c r="I18" s="182" t="e">
        <f t="shared" si="0"/>
        <v>#REF!</v>
      </c>
    </row>
    <row r="19" spans="1:9" s="184" customFormat="1" x14ac:dyDescent="0.3">
      <c r="A19" s="180">
        <v>9</v>
      </c>
      <c r="B19" s="1015" t="s">
        <v>164</v>
      </c>
      <c r="C19" s="1016"/>
      <c r="D19" s="180" t="s">
        <v>163</v>
      </c>
      <c r="E19" s="180">
        <v>4</v>
      </c>
      <c r="F19" s="182" t="e">
        <f>'1 этаж (2011)'!F19</f>
        <v>#REF!</v>
      </c>
      <c r="G19" s="180">
        <v>4</v>
      </c>
      <c r="H19" s="183" t="e">
        <f>F19*G19</f>
        <v>#REF!</v>
      </c>
      <c r="I19" s="182" t="e">
        <f t="shared" si="0"/>
        <v>#REF!</v>
      </c>
    </row>
    <row r="20" spans="1:9" s="184" customFormat="1" x14ac:dyDescent="0.3">
      <c r="A20" s="180">
        <v>10</v>
      </c>
      <c r="B20" s="1014" t="s">
        <v>172</v>
      </c>
      <c r="C20" s="1014"/>
      <c r="D20" s="180" t="s">
        <v>165</v>
      </c>
      <c r="E20" s="180">
        <v>6</v>
      </c>
      <c r="F20" s="182" t="e">
        <f>#REF!</f>
        <v>#REF!</v>
      </c>
      <c r="G20" s="180">
        <v>1</v>
      </c>
      <c r="H20" s="183" t="e">
        <f>F20*G20</f>
        <v>#REF!</v>
      </c>
      <c r="I20" s="182" t="e">
        <f t="shared" si="0"/>
        <v>#REF!</v>
      </c>
    </row>
    <row r="21" spans="1:9" x14ac:dyDescent="0.3">
      <c r="A21" s="180">
        <v>11</v>
      </c>
      <c r="B21" s="1022" t="s">
        <v>153</v>
      </c>
      <c r="C21" s="1022"/>
      <c r="D21" s="186"/>
      <c r="E21" s="185"/>
      <c r="F21" s="185"/>
      <c r="G21" s="185"/>
      <c r="H21" s="187" t="e">
        <f>SUM(H11:H20)</f>
        <v>#REF!</v>
      </c>
      <c r="I21" s="188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50*G19</f>
        <v>200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ROUNDDOWN(H21/F28,2)</f>
        <v>#REF!</v>
      </c>
      <c r="G29" s="193" t="s">
        <v>32</v>
      </c>
    </row>
  </sheetData>
  <mergeCells count="17">
    <mergeCell ref="B20:C20"/>
    <mergeCell ref="B19:C19"/>
    <mergeCell ref="A5:I5"/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  <mergeCell ref="B10:C10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5.59765625" style="170" customWidth="1"/>
    <col min="10" max="16384" width="8" style="170"/>
  </cols>
  <sheetData>
    <row r="4" spans="1:9" x14ac:dyDescent="0.3">
      <c r="F4" s="171"/>
      <c r="G4" s="171"/>
      <c r="H4" s="171"/>
      <c r="I4" s="172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0" t="s">
        <v>188</v>
      </c>
      <c r="C6" s="1020"/>
      <c r="D6" s="1020"/>
      <c r="E6" s="1020"/>
      <c r="F6" s="1020"/>
      <c r="G6" s="1020"/>
      <c r="H6" s="1020"/>
      <c r="I6" s="171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1021" t="s">
        <v>146</v>
      </c>
      <c r="C8" s="1021"/>
      <c r="D8" s="1021"/>
      <c r="E8" s="1021"/>
      <c r="F8" s="1021"/>
      <c r="G8" s="1021"/>
      <c r="H8" s="1021"/>
      <c r="I8" s="1021"/>
    </row>
    <row r="9" spans="1:9" ht="93.6" x14ac:dyDescent="0.3">
      <c r="A9" s="177" t="s">
        <v>7</v>
      </c>
      <c r="B9" s="1023" t="s">
        <v>147</v>
      </c>
      <c r="C9" s="1024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x14ac:dyDescent="0.3">
      <c r="A10" s="178">
        <v>1</v>
      </c>
      <c r="B10" s="1023">
        <v>2</v>
      </c>
      <c r="C10" s="1024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1015" t="s">
        <v>154</v>
      </c>
      <c r="C11" s="1016"/>
      <c r="D11" s="181" t="s">
        <v>155</v>
      </c>
      <c r="E11" s="180">
        <v>1</v>
      </c>
      <c r="F11" s="182" t="e">
        <f>'1 этаж (2011)'!F11</f>
        <v>#REF!</v>
      </c>
      <c r="G11" s="180">
        <f>15/10</f>
        <v>1.5</v>
      </c>
      <c r="H11" s="183" t="e">
        <f t="shared" ref="H11:H16" si="0">F11*G11</f>
        <v>#REF!</v>
      </c>
      <c r="I11" s="182" t="e">
        <f t="shared" ref="I11:I21" si="1">H11/1.18*0.18</f>
        <v>#REF!</v>
      </c>
    </row>
    <row r="12" spans="1:9" s="184" customFormat="1" x14ac:dyDescent="0.3">
      <c r="A12" s="180">
        <v>2</v>
      </c>
      <c r="B12" s="1015" t="s">
        <v>156</v>
      </c>
      <c r="C12" s="1016"/>
      <c r="D12" s="181" t="s">
        <v>155</v>
      </c>
      <c r="E12" s="180">
        <v>1</v>
      </c>
      <c r="F12" s="182" t="e">
        <f>'1 этаж (2011)'!F12</f>
        <v>#REF!</v>
      </c>
      <c r="G12" s="180">
        <f>7/10</f>
        <v>0.7</v>
      </c>
      <c r="H12" s="183" t="e">
        <f t="shared" si="0"/>
        <v>#REF!</v>
      </c>
      <c r="I12" s="182" t="e">
        <f t="shared" si="1"/>
        <v>#REF!</v>
      </c>
    </row>
    <row r="13" spans="1:9" s="184" customFormat="1" x14ac:dyDescent="0.3">
      <c r="A13" s="180">
        <v>3</v>
      </c>
      <c r="B13" s="1015" t="s">
        <v>157</v>
      </c>
      <c r="C13" s="1016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 t="shared" si="0"/>
        <v>#REF!</v>
      </c>
      <c r="I13" s="182" t="e">
        <f t="shared" si="1"/>
        <v>#REF!</v>
      </c>
    </row>
    <row r="14" spans="1:9" s="184" customFormat="1" x14ac:dyDescent="0.3">
      <c r="A14" s="180">
        <v>4</v>
      </c>
      <c r="B14" s="1015" t="s">
        <v>168</v>
      </c>
      <c r="C14" s="1016"/>
      <c r="D14" s="180" t="s">
        <v>88</v>
      </c>
      <c r="E14" s="180">
        <v>2</v>
      </c>
      <c r="F14" s="182" t="e">
        <f>'1 этаж (2011)'!F14</f>
        <v>#REF!</v>
      </c>
      <c r="G14" s="180"/>
      <c r="H14" s="183" t="e">
        <f t="shared" si="0"/>
        <v>#REF!</v>
      </c>
      <c r="I14" s="182" t="e">
        <f t="shared" si="1"/>
        <v>#REF!</v>
      </c>
    </row>
    <row r="15" spans="1:9" s="184" customFormat="1" x14ac:dyDescent="0.3">
      <c r="A15" s="180">
        <v>5</v>
      </c>
      <c r="B15" s="1015" t="s">
        <v>169</v>
      </c>
      <c r="C15" s="1016"/>
      <c r="D15" s="180" t="s">
        <v>88</v>
      </c>
      <c r="E15" s="180"/>
      <c r="F15" s="182" t="e">
        <f>'1 этаж (2011)'!F15</f>
        <v>#REF!</v>
      </c>
      <c r="G15" s="180">
        <v>4</v>
      </c>
      <c r="H15" s="183" t="e">
        <f t="shared" si="0"/>
        <v>#REF!</v>
      </c>
      <c r="I15" s="182" t="e">
        <f t="shared" si="1"/>
        <v>#REF!</v>
      </c>
    </row>
    <row r="16" spans="1:9" s="184" customFormat="1" x14ac:dyDescent="0.3">
      <c r="A16" s="180">
        <v>6</v>
      </c>
      <c r="B16" s="1015" t="s">
        <v>170</v>
      </c>
      <c r="C16" s="1016"/>
      <c r="D16" s="180" t="s">
        <v>88</v>
      </c>
      <c r="E16" s="180"/>
      <c r="F16" s="182" t="e">
        <f>'1 этаж (2011)'!F16</f>
        <v>#REF!</v>
      </c>
      <c r="G16" s="180"/>
      <c r="H16" s="183" t="e">
        <f t="shared" si="0"/>
        <v>#REF!</v>
      </c>
      <c r="I16" s="182" t="e">
        <f t="shared" si="1"/>
        <v>#REF!</v>
      </c>
    </row>
    <row r="17" spans="1:9" s="184" customFormat="1" x14ac:dyDescent="0.3">
      <c r="A17" s="180">
        <v>7</v>
      </c>
      <c r="B17" s="1015" t="s">
        <v>171</v>
      </c>
      <c r="C17" s="1016"/>
      <c r="D17" s="180" t="s">
        <v>88</v>
      </c>
      <c r="E17" s="180"/>
      <c r="F17" s="182" t="e">
        <f>'1 этаж (2011)'!F17</f>
        <v>#REF!</v>
      </c>
      <c r="G17" s="180"/>
      <c r="H17" s="183"/>
      <c r="I17" s="182">
        <f t="shared" si="1"/>
        <v>0</v>
      </c>
    </row>
    <row r="18" spans="1:9" s="184" customFormat="1" x14ac:dyDescent="0.3">
      <c r="A18" s="180">
        <v>8</v>
      </c>
      <c r="B18" s="1015" t="s">
        <v>162</v>
      </c>
      <c r="C18" s="1016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182" t="e">
        <f t="shared" si="1"/>
        <v>#REF!</v>
      </c>
    </row>
    <row r="19" spans="1:9" s="184" customFormat="1" x14ac:dyDescent="0.3">
      <c r="A19" s="180">
        <v>9</v>
      </c>
      <c r="B19" s="1015" t="s">
        <v>164</v>
      </c>
      <c r="C19" s="1016"/>
      <c r="D19" s="180" t="s">
        <v>163</v>
      </c>
      <c r="E19" s="180">
        <v>4</v>
      </c>
      <c r="F19" s="182" t="e">
        <f>'1 этаж (2011)'!F19</f>
        <v>#REF!</v>
      </c>
      <c r="G19" s="180">
        <v>8</v>
      </c>
      <c r="H19" s="183" t="e">
        <f>F19*G19</f>
        <v>#REF!</v>
      </c>
      <c r="I19" s="182" t="e">
        <f t="shared" si="1"/>
        <v>#REF!</v>
      </c>
    </row>
    <row r="20" spans="1:9" s="184" customFormat="1" ht="15.75" customHeight="1" x14ac:dyDescent="0.3">
      <c r="A20" s="180">
        <v>10</v>
      </c>
      <c r="B20" s="1014" t="s">
        <v>177</v>
      </c>
      <c r="C20" s="1014"/>
      <c r="D20" s="180" t="s">
        <v>165</v>
      </c>
      <c r="E20" s="180">
        <v>6</v>
      </c>
      <c r="F20" s="182" t="e">
        <f>#REF!</f>
        <v>#REF!</v>
      </c>
      <c r="G20" s="180">
        <v>4</v>
      </c>
      <c r="H20" s="183" t="e">
        <f>F20*G20</f>
        <v>#REF!</v>
      </c>
      <c r="I20" s="182" t="e">
        <f t="shared" si="1"/>
        <v>#REF!</v>
      </c>
    </row>
    <row r="21" spans="1:9" x14ac:dyDescent="0.3">
      <c r="A21" s="180">
        <v>11</v>
      </c>
      <c r="B21" s="1022" t="s">
        <v>153</v>
      </c>
      <c r="C21" s="1022"/>
      <c r="D21" s="186"/>
      <c r="E21" s="185"/>
      <c r="F21" s="185"/>
      <c r="G21" s="185"/>
      <c r="H21" s="187" t="e">
        <f>SUM(H11:H20)</f>
        <v>#REF!</v>
      </c>
      <c r="I21" s="188" t="e">
        <f t="shared" si="1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3" spans="1:9" ht="15.75" customHeight="1" x14ac:dyDescent="0.3"/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51*G19</f>
        <v>408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10:C10"/>
    <mergeCell ref="B20:C20"/>
    <mergeCell ref="B19:C19"/>
    <mergeCell ref="A5:I5"/>
    <mergeCell ref="A24:I24"/>
    <mergeCell ref="B6:H6"/>
    <mergeCell ref="B8:I8"/>
    <mergeCell ref="B17:C17"/>
    <mergeCell ref="B15:C15"/>
    <mergeCell ref="B16:C16"/>
    <mergeCell ref="B13:C13"/>
    <mergeCell ref="B11:C11"/>
    <mergeCell ref="B12:C12"/>
    <mergeCell ref="B21:C21"/>
    <mergeCell ref="B18:C18"/>
    <mergeCell ref="B14:C14"/>
    <mergeCell ref="B9:C9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5:I29"/>
  <sheetViews>
    <sheetView showZeros="0" view="pageBreakPreview" topLeftCell="A13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170" customWidth="1"/>
    <col min="2" max="2" width="51.09765625" style="170" customWidth="1"/>
    <col min="3" max="3" width="12.19921875" style="170" customWidth="1"/>
    <col min="4" max="4" width="17.09765625" style="170" customWidth="1"/>
    <col min="5" max="5" width="13.19921875" style="170" customWidth="1"/>
    <col min="6" max="6" width="17.59765625" style="170" customWidth="1"/>
    <col min="7" max="7" width="16.09765625" style="170" customWidth="1"/>
    <col min="8" max="8" width="13" style="170" customWidth="1"/>
    <col min="9" max="9" width="17.3984375" style="170" customWidth="1"/>
    <col min="10" max="16384" width="8" style="170"/>
  </cols>
  <sheetData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A6" s="1020" t="s">
        <v>189</v>
      </c>
      <c r="B6" s="1020"/>
      <c r="C6" s="1020"/>
      <c r="D6" s="1020"/>
      <c r="E6" s="1020"/>
      <c r="F6" s="1020"/>
      <c r="G6" s="1020"/>
      <c r="H6" s="1020"/>
      <c r="I6" s="1020"/>
    </row>
    <row r="7" spans="1:9" x14ac:dyDescent="0.3">
      <c r="A7" s="174"/>
      <c r="B7" s="175"/>
      <c r="C7" s="175"/>
      <c r="D7" s="175"/>
      <c r="E7" s="175"/>
      <c r="F7" s="176"/>
      <c r="G7" s="176"/>
      <c r="H7" s="176"/>
      <c r="I7" s="176"/>
    </row>
    <row r="8" spans="1:9" ht="21.75" customHeight="1" x14ac:dyDescent="0.3">
      <c r="B8" s="1021" t="s">
        <v>146</v>
      </c>
      <c r="C8" s="1021"/>
      <c r="D8" s="1021"/>
      <c r="E8" s="1021"/>
      <c r="F8" s="1021"/>
      <c r="G8" s="1021"/>
      <c r="H8" s="1021"/>
      <c r="I8" s="1021"/>
    </row>
    <row r="9" spans="1:9" ht="96.75" customHeight="1" x14ac:dyDescent="0.3">
      <c r="A9" s="177" t="s">
        <v>7</v>
      </c>
      <c r="B9" s="1023" t="s">
        <v>147</v>
      </c>
      <c r="C9" s="1024"/>
      <c r="D9" s="177" t="s">
        <v>9</v>
      </c>
      <c r="E9" s="177" t="s">
        <v>148</v>
      </c>
      <c r="F9" s="177" t="s">
        <v>149</v>
      </c>
      <c r="G9" s="177" t="s">
        <v>150</v>
      </c>
      <c r="H9" s="177" t="s">
        <v>151</v>
      </c>
      <c r="I9" s="177" t="s">
        <v>152</v>
      </c>
    </row>
    <row r="10" spans="1:9" s="179" customFormat="1" ht="12" customHeight="1" x14ac:dyDescent="0.3">
      <c r="A10" s="178">
        <v>1</v>
      </c>
      <c r="B10" s="1023">
        <v>2</v>
      </c>
      <c r="C10" s="1024"/>
      <c r="D10" s="178">
        <v>3</v>
      </c>
      <c r="E10" s="178">
        <v>4</v>
      </c>
      <c r="F10" s="178">
        <v>5</v>
      </c>
      <c r="G10" s="178">
        <v>6</v>
      </c>
      <c r="H10" s="178">
        <v>7</v>
      </c>
      <c r="I10" s="178">
        <v>8</v>
      </c>
    </row>
    <row r="11" spans="1:9" s="184" customFormat="1" x14ac:dyDescent="0.3">
      <c r="A11" s="180">
        <v>1</v>
      </c>
      <c r="B11" s="1025" t="s">
        <v>154</v>
      </c>
      <c r="C11" s="1025"/>
      <c r="D11" s="181" t="s">
        <v>155</v>
      </c>
      <c r="E11" s="180">
        <v>1</v>
      </c>
      <c r="F11" s="182" t="e">
        <f>'1 этаж (2011)'!F11</f>
        <v>#REF!</v>
      </c>
      <c r="G11" s="180">
        <f>23/10</f>
        <v>2.2999999999999998</v>
      </c>
      <c r="H11" s="183" t="e">
        <f>F11*G11</f>
        <v>#REF!</v>
      </c>
      <c r="I11" s="201" t="e">
        <f t="shared" ref="I11:I21" si="0">H11/1.18*0.18</f>
        <v>#REF!</v>
      </c>
    </row>
    <row r="12" spans="1:9" s="184" customFormat="1" x14ac:dyDescent="0.3">
      <c r="A12" s="180">
        <v>2</v>
      </c>
      <c r="B12" s="1025" t="s">
        <v>156</v>
      </c>
      <c r="C12" s="1025"/>
      <c r="D12" s="181" t="s">
        <v>155</v>
      </c>
      <c r="E12" s="180">
        <v>1</v>
      </c>
      <c r="F12" s="182" t="e">
        <f>'1 этаж (2011)'!F12</f>
        <v>#REF!</v>
      </c>
      <c r="G12" s="180">
        <f>11/10</f>
        <v>1.1000000000000001</v>
      </c>
      <c r="H12" s="183" t="e">
        <f>F12*G12</f>
        <v>#REF!</v>
      </c>
      <c r="I12" s="201" t="e">
        <f t="shared" si="0"/>
        <v>#REF!</v>
      </c>
    </row>
    <row r="13" spans="1:9" s="184" customFormat="1" x14ac:dyDescent="0.3">
      <c r="A13" s="180">
        <v>3</v>
      </c>
      <c r="B13" s="1025" t="s">
        <v>157</v>
      </c>
      <c r="C13" s="1025"/>
      <c r="D13" s="181" t="s">
        <v>155</v>
      </c>
      <c r="E13" s="180">
        <v>1</v>
      </c>
      <c r="F13" s="182" t="e">
        <f>'1 этаж (2011)'!F13</f>
        <v>#REF!</v>
      </c>
      <c r="G13" s="180">
        <f>3/10</f>
        <v>0.3</v>
      </c>
      <c r="H13" s="183" t="e">
        <f>F13*G13</f>
        <v>#REF!</v>
      </c>
      <c r="I13" s="201" t="e">
        <f t="shared" si="0"/>
        <v>#REF!</v>
      </c>
    </row>
    <row r="14" spans="1:9" s="184" customFormat="1" x14ac:dyDescent="0.3">
      <c r="A14" s="180">
        <v>4</v>
      </c>
      <c r="B14" s="1025" t="s">
        <v>158</v>
      </c>
      <c r="C14" s="1025"/>
      <c r="D14" s="180" t="s">
        <v>88</v>
      </c>
      <c r="E14" s="180"/>
      <c r="F14" s="182" t="e">
        <f>'1 этаж (2011)'!F14</f>
        <v>#REF!</v>
      </c>
      <c r="G14" s="180"/>
      <c r="H14" s="183"/>
      <c r="I14" s="201">
        <f t="shared" si="0"/>
        <v>0</v>
      </c>
    </row>
    <row r="15" spans="1:9" s="184" customFormat="1" x14ac:dyDescent="0.3">
      <c r="A15" s="180">
        <v>5</v>
      </c>
      <c r="B15" s="1025" t="s">
        <v>159</v>
      </c>
      <c r="C15" s="1025"/>
      <c r="D15" s="180" t="s">
        <v>88</v>
      </c>
      <c r="E15" s="180">
        <v>2</v>
      </c>
      <c r="F15" s="182" t="e">
        <f>'1 этаж (2011)'!F15</f>
        <v>#REF!</v>
      </c>
      <c r="G15" s="180">
        <v>4</v>
      </c>
      <c r="H15" s="183" t="e">
        <f>F15*G15</f>
        <v>#REF!</v>
      </c>
      <c r="I15" s="201" t="e">
        <f t="shared" si="0"/>
        <v>#REF!</v>
      </c>
    </row>
    <row r="16" spans="1:9" s="184" customFormat="1" x14ac:dyDescent="0.3">
      <c r="A16" s="180">
        <v>6</v>
      </c>
      <c r="B16" s="1025" t="s">
        <v>160</v>
      </c>
      <c r="C16" s="1025"/>
      <c r="D16" s="180" t="s">
        <v>88</v>
      </c>
      <c r="E16" s="180"/>
      <c r="F16" s="182" t="e">
        <f>'1 этаж (2011)'!F16</f>
        <v>#REF!</v>
      </c>
      <c r="G16" s="180"/>
      <c r="H16" s="183"/>
      <c r="I16" s="201">
        <f t="shared" si="0"/>
        <v>0</v>
      </c>
    </row>
    <row r="17" spans="1:9" s="184" customFormat="1" x14ac:dyDescent="0.3">
      <c r="A17" s="180">
        <v>7</v>
      </c>
      <c r="B17" s="1025" t="s">
        <v>161</v>
      </c>
      <c r="C17" s="1025"/>
      <c r="D17" s="180" t="s">
        <v>88</v>
      </c>
      <c r="E17" s="180"/>
      <c r="F17" s="182" t="e">
        <f>'1 этаж (2011)'!F17</f>
        <v>#REF!</v>
      </c>
      <c r="G17" s="180"/>
      <c r="H17" s="183"/>
      <c r="I17" s="201">
        <f t="shared" si="0"/>
        <v>0</v>
      </c>
    </row>
    <row r="18" spans="1:9" s="184" customFormat="1" x14ac:dyDescent="0.3">
      <c r="A18" s="180">
        <v>8</v>
      </c>
      <c r="B18" s="1025" t="s">
        <v>162</v>
      </c>
      <c r="C18" s="1025"/>
      <c r="D18" s="180" t="s">
        <v>163</v>
      </c>
      <c r="E18" s="180">
        <v>3</v>
      </c>
      <c r="F18" s="182" t="e">
        <f>'1 этаж (2011)'!F18</f>
        <v>#REF!</v>
      </c>
      <c r="G18" s="180">
        <v>4</v>
      </c>
      <c r="H18" s="183" t="e">
        <f>F18*G18</f>
        <v>#REF!</v>
      </c>
      <c r="I18" s="201" t="e">
        <f t="shared" si="0"/>
        <v>#REF!</v>
      </c>
    </row>
    <row r="19" spans="1:9" s="184" customFormat="1" x14ac:dyDescent="0.3">
      <c r="A19" s="180">
        <v>9</v>
      </c>
      <c r="B19" s="1025" t="s">
        <v>164</v>
      </c>
      <c r="C19" s="1025"/>
      <c r="D19" s="180" t="s">
        <v>163</v>
      </c>
      <c r="E19" s="180">
        <v>4</v>
      </c>
      <c r="F19" s="182" t="e">
        <f>'1 этаж (2011)'!F19</f>
        <v>#REF!</v>
      </c>
      <c r="G19" s="180">
        <v>12</v>
      </c>
      <c r="H19" s="183" t="e">
        <f>F19*G19</f>
        <v>#REF!</v>
      </c>
      <c r="I19" s="201" t="e">
        <f t="shared" si="0"/>
        <v>#REF!</v>
      </c>
    </row>
    <row r="20" spans="1:9" s="184" customFormat="1" x14ac:dyDescent="0.3">
      <c r="A20" s="180">
        <v>10</v>
      </c>
      <c r="B20" s="1014" t="s">
        <v>177</v>
      </c>
      <c r="C20" s="1014"/>
      <c r="D20" s="180" t="s">
        <v>165</v>
      </c>
      <c r="E20" s="180">
        <v>6</v>
      </c>
      <c r="F20" s="182" t="e">
        <f>#REF!</f>
        <v>#REF!</v>
      </c>
      <c r="G20" s="180">
        <f>G15</f>
        <v>4</v>
      </c>
      <c r="H20" s="183" t="e">
        <f>F20*G20</f>
        <v>#REF!</v>
      </c>
      <c r="I20" s="201" t="e">
        <f t="shared" si="0"/>
        <v>#REF!</v>
      </c>
    </row>
    <row r="21" spans="1:9" x14ac:dyDescent="0.3">
      <c r="A21" s="180">
        <v>11</v>
      </c>
      <c r="B21" s="1022" t="s">
        <v>153</v>
      </c>
      <c r="C21" s="1022"/>
      <c r="D21" s="186"/>
      <c r="E21" s="185"/>
      <c r="F21" s="185"/>
      <c r="G21" s="185"/>
      <c r="H21" s="187" t="e">
        <f>SUM(H11:H20)</f>
        <v>#REF!</v>
      </c>
      <c r="I21" s="202" t="e">
        <f t="shared" si="0"/>
        <v>#REF!</v>
      </c>
    </row>
    <row r="22" spans="1:9" x14ac:dyDescent="0.3">
      <c r="A22" s="189"/>
      <c r="B22" s="190"/>
      <c r="C22" s="191"/>
      <c r="D22" s="190"/>
      <c r="E22" s="189"/>
      <c r="F22" s="189"/>
      <c r="G22" s="189"/>
      <c r="H22" s="192"/>
      <c r="I22" s="189"/>
    </row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55*G19</f>
        <v>660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9:C9"/>
    <mergeCell ref="B10:C10"/>
    <mergeCell ref="B12:C12"/>
    <mergeCell ref="A24:I24"/>
    <mergeCell ref="B19:C19"/>
    <mergeCell ref="A5:I5"/>
    <mergeCell ref="A6:I6"/>
    <mergeCell ref="B20:C20"/>
    <mergeCell ref="B11:C11"/>
    <mergeCell ref="B17:C17"/>
    <mergeCell ref="B15:C15"/>
    <mergeCell ref="B16:C16"/>
    <mergeCell ref="B18:C18"/>
    <mergeCell ref="B21:C21"/>
    <mergeCell ref="B8:I8"/>
    <mergeCell ref="B13:C13"/>
    <mergeCell ref="B14:C14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6992187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7" t="s">
        <v>190</v>
      </c>
      <c r="C6" s="1027"/>
      <c r="D6" s="1027"/>
      <c r="E6" s="1027"/>
      <c r="F6" s="1027"/>
      <c r="G6" s="1027"/>
      <c r="H6" s="1027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0">
        <v>2</v>
      </c>
      <c r="C10" s="1031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31">
        <v>3</v>
      </c>
      <c r="H11" s="169" t="e">
        <f t="shared" ref="H11:H16" si="0">F11*G11</f>
        <v>#REF!</v>
      </c>
      <c r="I11" s="201" t="e">
        <f t="shared" ref="I11:I21" si="1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v>1.4</v>
      </c>
      <c r="H12" s="169" t="e">
        <f t="shared" si="0"/>
        <v>#REF!</v>
      </c>
      <c r="I12" s="201" t="e">
        <f t="shared" si="1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v>0.5</v>
      </c>
      <c r="H13" s="169" t="e">
        <f t="shared" si="0"/>
        <v>#REF!</v>
      </c>
      <c r="I13" s="201" t="e">
        <f t="shared" si="1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 t="e">
        <f t="shared" si="0"/>
        <v>#REF!</v>
      </c>
      <c r="I14" s="201" t="e">
        <f t="shared" si="1"/>
        <v>#REF!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>
        <v>2</v>
      </c>
      <c r="F15" s="182" t="e">
        <f>'1 этаж (2011)'!F15</f>
        <v>#REF!</v>
      </c>
      <c r="G15" s="212"/>
      <c r="H15" s="169" t="e">
        <f t="shared" si="0"/>
        <v>#REF!</v>
      </c>
      <c r="I15" s="201" t="e">
        <f t="shared" si="1"/>
        <v>#REF!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>
        <v>4</v>
      </c>
      <c r="H16" s="169" t="e">
        <f t="shared" si="0"/>
        <v>#REF!</v>
      </c>
      <c r="I16" s="201" t="e">
        <f t="shared" si="1"/>
        <v>#REF!</v>
      </c>
    </row>
    <row r="17" spans="1:9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/>
      <c r="F17" s="182" t="e">
        <f>'1 этаж (2011)'!F17</f>
        <v>#REF!</v>
      </c>
      <c r="G17" s="212"/>
      <c r="H17" s="169"/>
      <c r="I17" s="201">
        <f t="shared" si="1"/>
        <v>0</v>
      </c>
    </row>
    <row r="18" spans="1:9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>F18*G18</f>
        <v>#REF!</v>
      </c>
      <c r="I18" s="201" t="e">
        <f t="shared" si="1"/>
        <v>#REF!</v>
      </c>
    </row>
    <row r="19" spans="1:9" s="215" customFormat="1" x14ac:dyDescent="0.3">
      <c r="A19" s="212">
        <v>9</v>
      </c>
      <c r="B19" s="1026" t="s">
        <v>164</v>
      </c>
      <c r="C19" s="1026"/>
      <c r="D19" s="212" t="s">
        <v>163</v>
      </c>
      <c r="E19" s="212">
        <v>4</v>
      </c>
      <c r="F19" s="182" t="e">
        <f>'1 этаж (2011)'!F19</f>
        <v>#REF!</v>
      </c>
      <c r="G19" s="212">
        <v>16</v>
      </c>
      <c r="H19" s="169" t="e">
        <f>F19*G19</f>
        <v>#REF!</v>
      </c>
      <c r="I19" s="201" t="e">
        <f t="shared" si="1"/>
        <v>#REF!</v>
      </c>
    </row>
    <row r="20" spans="1:9" s="215" customFormat="1" x14ac:dyDescent="0.3">
      <c r="A20" s="212">
        <v>10</v>
      </c>
      <c r="B20" s="1014" t="s">
        <v>191</v>
      </c>
      <c r="C20" s="1014"/>
      <c r="D20" s="212" t="s">
        <v>165</v>
      </c>
      <c r="E20" s="212">
        <v>6</v>
      </c>
      <c r="F20" s="201" t="e">
        <f>#REF!</f>
        <v>#REF!</v>
      </c>
      <c r="G20" s="212">
        <v>4</v>
      </c>
      <c r="H20" s="169" t="e">
        <f>F20*G20</f>
        <v>#REF!</v>
      </c>
      <c r="I20" s="201" t="e">
        <f t="shared" si="1"/>
        <v>#REF!</v>
      </c>
    </row>
    <row r="21" spans="1:9" x14ac:dyDescent="0.3">
      <c r="A21" s="212">
        <v>11</v>
      </c>
      <c r="B21" s="1028" t="s">
        <v>153</v>
      </c>
      <c r="C21" s="1028"/>
      <c r="D21" s="217"/>
      <c r="E21" s="216"/>
      <c r="F21" s="216"/>
      <c r="G21" s="216"/>
      <c r="H21" s="218" t="e">
        <f>SUM(H11:H20)</f>
        <v>#REF!</v>
      </c>
      <c r="I21" s="202" t="e">
        <f t="shared" si="1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56*G19</f>
        <v>896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A5:I5"/>
    <mergeCell ref="B6:H6"/>
    <mergeCell ref="B20:C20"/>
    <mergeCell ref="B12:C12"/>
    <mergeCell ref="B21:C21"/>
    <mergeCell ref="B13:C13"/>
    <mergeCell ref="B14:C14"/>
    <mergeCell ref="B8:I8"/>
    <mergeCell ref="B17:C17"/>
    <mergeCell ref="B15:C15"/>
    <mergeCell ref="B16:C16"/>
    <mergeCell ref="B9:C9"/>
    <mergeCell ref="B10:C10"/>
    <mergeCell ref="B11:C11"/>
    <mergeCell ref="A24:I24"/>
    <mergeCell ref="B18:C18"/>
    <mergeCell ref="B19:C19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4:I29"/>
  <sheetViews>
    <sheetView showZeros="0" view="pageBreakPreview" topLeftCell="A10" zoomScale="75" zoomScaleNormal="85" workbookViewId="0">
      <selection activeCell="J29" sqref="J29"/>
    </sheetView>
  </sheetViews>
  <sheetFormatPr defaultColWidth="8" defaultRowHeight="15.6" x14ac:dyDescent="0.3"/>
  <cols>
    <col min="1" max="1" width="7.19921875" style="203" customWidth="1"/>
    <col min="2" max="2" width="51.09765625" style="203" customWidth="1"/>
    <col min="3" max="3" width="12.19921875" style="203" customWidth="1"/>
    <col min="4" max="4" width="17.09765625" style="203" customWidth="1"/>
    <col min="5" max="5" width="13.19921875" style="203" customWidth="1"/>
    <col min="6" max="6" width="17.59765625" style="203" customWidth="1"/>
    <col min="7" max="7" width="16.09765625" style="203" customWidth="1"/>
    <col min="8" max="8" width="13" style="203" customWidth="1"/>
    <col min="9" max="9" width="16.59765625" style="203" customWidth="1"/>
    <col min="10" max="16384" width="8" style="203"/>
  </cols>
  <sheetData>
    <row r="4" spans="1:9" x14ac:dyDescent="0.3">
      <c r="F4" s="204"/>
      <c r="G4" s="204"/>
      <c r="H4" s="204"/>
      <c r="I4" s="205"/>
    </row>
    <row r="5" spans="1:9" x14ac:dyDescent="0.3">
      <c r="A5" s="1017" t="s">
        <v>166</v>
      </c>
      <c r="B5" s="1018"/>
      <c r="C5" s="1018"/>
      <c r="D5" s="1018"/>
      <c r="E5" s="1018"/>
      <c r="F5" s="1018"/>
      <c r="G5" s="1018"/>
      <c r="H5" s="1018"/>
      <c r="I5" s="1018"/>
    </row>
    <row r="6" spans="1:9" x14ac:dyDescent="0.3">
      <c r="B6" s="1027" t="s">
        <v>192</v>
      </c>
      <c r="C6" s="1027"/>
      <c r="D6" s="1027"/>
      <c r="E6" s="1027"/>
      <c r="F6" s="1027"/>
      <c r="G6" s="1027"/>
      <c r="H6" s="1027"/>
      <c r="I6" s="204"/>
    </row>
    <row r="7" spans="1:9" x14ac:dyDescent="0.3">
      <c r="A7" s="206"/>
      <c r="B7" s="207"/>
      <c r="C7" s="207"/>
      <c r="D7" s="207"/>
      <c r="E7" s="207"/>
      <c r="F7" s="208"/>
      <c r="G7" s="208"/>
      <c r="H7" s="208"/>
      <c r="I7" s="208"/>
    </row>
    <row r="8" spans="1:9" ht="21.75" customHeight="1" x14ac:dyDescent="0.3">
      <c r="B8" s="1029" t="s">
        <v>146</v>
      </c>
      <c r="C8" s="1029"/>
      <c r="D8" s="1029"/>
      <c r="E8" s="1029"/>
      <c r="F8" s="1029"/>
      <c r="G8" s="1029"/>
      <c r="H8" s="1029"/>
      <c r="I8" s="1029"/>
    </row>
    <row r="9" spans="1:9" ht="96.75" customHeight="1" x14ac:dyDescent="0.3">
      <c r="A9" s="209" t="s">
        <v>7</v>
      </c>
      <c r="B9" s="1030" t="s">
        <v>147</v>
      </c>
      <c r="C9" s="1031"/>
      <c r="D9" s="209" t="s">
        <v>9</v>
      </c>
      <c r="E9" s="209" t="s">
        <v>148</v>
      </c>
      <c r="F9" s="209" t="s">
        <v>149</v>
      </c>
      <c r="G9" s="209" t="s">
        <v>150</v>
      </c>
      <c r="H9" s="209" t="s">
        <v>151</v>
      </c>
      <c r="I9" s="209" t="s">
        <v>152</v>
      </c>
    </row>
    <row r="10" spans="1:9" s="211" customFormat="1" ht="12" customHeight="1" x14ac:dyDescent="0.3">
      <c r="A10" s="210">
        <v>1</v>
      </c>
      <c r="B10" s="1030">
        <v>2</v>
      </c>
      <c r="C10" s="1031"/>
      <c r="D10" s="210">
        <v>3</v>
      </c>
      <c r="E10" s="210">
        <v>4</v>
      </c>
      <c r="F10" s="210">
        <v>5</v>
      </c>
      <c r="G10" s="210">
        <v>6</v>
      </c>
      <c r="H10" s="210">
        <v>7</v>
      </c>
      <c r="I10" s="210">
        <v>8</v>
      </c>
    </row>
    <row r="11" spans="1:9" s="215" customFormat="1" x14ac:dyDescent="0.3">
      <c r="A11" s="212">
        <v>1</v>
      </c>
      <c r="B11" s="1026" t="s">
        <v>154</v>
      </c>
      <c r="C11" s="1026"/>
      <c r="D11" s="214" t="s">
        <v>155</v>
      </c>
      <c r="E11" s="212">
        <v>1</v>
      </c>
      <c r="F11" s="182" t="e">
        <f>'1 этаж (2011)'!F11</f>
        <v>#REF!</v>
      </c>
      <c r="G11" s="212">
        <f>36/10</f>
        <v>3.6</v>
      </c>
      <c r="H11" s="169" t="e">
        <f>F11*G11</f>
        <v>#REF!</v>
      </c>
      <c r="I11" s="201" t="e">
        <f t="shared" ref="I11:I21" si="0">H11/1.18*0.18</f>
        <v>#REF!</v>
      </c>
    </row>
    <row r="12" spans="1:9" s="215" customFormat="1" x14ac:dyDescent="0.3">
      <c r="A12" s="212">
        <v>2</v>
      </c>
      <c r="B12" s="1026" t="s">
        <v>156</v>
      </c>
      <c r="C12" s="1026"/>
      <c r="D12" s="214" t="s">
        <v>155</v>
      </c>
      <c r="E12" s="212">
        <v>1</v>
      </c>
      <c r="F12" s="182" t="e">
        <f>'1 этаж (2011)'!F12</f>
        <v>#REF!</v>
      </c>
      <c r="G12" s="212">
        <f>18/10</f>
        <v>1.8</v>
      </c>
      <c r="H12" s="169" t="e">
        <f>F12*G12</f>
        <v>#REF!</v>
      </c>
      <c r="I12" s="201" t="e">
        <f t="shared" si="0"/>
        <v>#REF!</v>
      </c>
    </row>
    <row r="13" spans="1:9" s="215" customFormat="1" x14ac:dyDescent="0.3">
      <c r="A13" s="212">
        <v>3</v>
      </c>
      <c r="B13" s="1026" t="s">
        <v>157</v>
      </c>
      <c r="C13" s="1026"/>
      <c r="D13" s="214" t="s">
        <v>155</v>
      </c>
      <c r="E13" s="212">
        <v>1</v>
      </c>
      <c r="F13" s="182" t="e">
        <f>'1 этаж (2011)'!F13</f>
        <v>#REF!</v>
      </c>
      <c r="G13" s="212">
        <f>6/10</f>
        <v>0.6</v>
      </c>
      <c r="H13" s="169" t="e">
        <f>F13*G13</f>
        <v>#REF!</v>
      </c>
      <c r="I13" s="201" t="e">
        <f t="shared" si="0"/>
        <v>#REF!</v>
      </c>
    </row>
    <row r="14" spans="1:9" s="215" customFormat="1" x14ac:dyDescent="0.3">
      <c r="A14" s="212">
        <v>4</v>
      </c>
      <c r="B14" s="1026" t="s">
        <v>158</v>
      </c>
      <c r="C14" s="1026"/>
      <c r="D14" s="212" t="s">
        <v>88</v>
      </c>
      <c r="E14" s="212"/>
      <c r="F14" s="182" t="e">
        <f>'1 этаж (2011)'!F14</f>
        <v>#REF!</v>
      </c>
      <c r="G14" s="212"/>
      <c r="H14" s="169"/>
      <c r="I14" s="201">
        <f t="shared" si="0"/>
        <v>0</v>
      </c>
    </row>
    <row r="15" spans="1:9" s="215" customFormat="1" x14ac:dyDescent="0.3">
      <c r="A15" s="212">
        <v>5</v>
      </c>
      <c r="B15" s="1026" t="s">
        <v>159</v>
      </c>
      <c r="C15" s="1026"/>
      <c r="D15" s="212" t="s">
        <v>88</v>
      </c>
      <c r="E15" s="212">
        <v>2</v>
      </c>
      <c r="F15" s="182" t="e">
        <f>'1 этаж (2011)'!F15</f>
        <v>#REF!</v>
      </c>
      <c r="G15" s="212"/>
      <c r="H15" s="169" t="e">
        <f t="shared" ref="H15:H20" si="1">F15*G15</f>
        <v>#REF!</v>
      </c>
      <c r="I15" s="201" t="e">
        <f t="shared" si="0"/>
        <v>#REF!</v>
      </c>
    </row>
    <row r="16" spans="1:9" s="215" customFormat="1" x14ac:dyDescent="0.3">
      <c r="A16" s="212">
        <v>6</v>
      </c>
      <c r="B16" s="1026" t="s">
        <v>160</v>
      </c>
      <c r="C16" s="1026"/>
      <c r="D16" s="212" t="s">
        <v>88</v>
      </c>
      <c r="E16" s="212"/>
      <c r="F16" s="182" t="e">
        <f>'1 этаж (2011)'!F16</f>
        <v>#REF!</v>
      </c>
      <c r="G16" s="212">
        <v>4</v>
      </c>
      <c r="H16" s="169" t="e">
        <f t="shared" si="1"/>
        <v>#REF!</v>
      </c>
      <c r="I16" s="201" t="e">
        <f t="shared" si="0"/>
        <v>#REF!</v>
      </c>
    </row>
    <row r="17" spans="1:9" s="215" customFormat="1" x14ac:dyDescent="0.3">
      <c r="A17" s="212">
        <v>7</v>
      </c>
      <c r="B17" s="1026" t="s">
        <v>161</v>
      </c>
      <c r="C17" s="1026"/>
      <c r="D17" s="212" t="s">
        <v>88</v>
      </c>
      <c r="E17" s="212"/>
      <c r="F17" s="182" t="e">
        <f>'1 этаж (2011)'!F17</f>
        <v>#REF!</v>
      </c>
      <c r="G17" s="212"/>
      <c r="H17" s="169" t="e">
        <f t="shared" si="1"/>
        <v>#REF!</v>
      </c>
      <c r="I17" s="201" t="e">
        <f t="shared" si="0"/>
        <v>#REF!</v>
      </c>
    </row>
    <row r="18" spans="1:9" s="215" customFormat="1" x14ac:dyDescent="0.3">
      <c r="A18" s="212">
        <v>8</v>
      </c>
      <c r="B18" s="1026" t="s">
        <v>162</v>
      </c>
      <c r="C18" s="1026"/>
      <c r="D18" s="212" t="s">
        <v>163</v>
      </c>
      <c r="E18" s="212">
        <v>3</v>
      </c>
      <c r="F18" s="182" t="e">
        <f>'1 этаж (2011)'!F18</f>
        <v>#REF!</v>
      </c>
      <c r="G18" s="212">
        <v>4</v>
      </c>
      <c r="H18" s="169" t="e">
        <f t="shared" si="1"/>
        <v>#REF!</v>
      </c>
      <c r="I18" s="201" t="e">
        <f t="shared" si="0"/>
        <v>#REF!</v>
      </c>
    </row>
    <row r="19" spans="1:9" s="215" customFormat="1" x14ac:dyDescent="0.3">
      <c r="A19" s="212">
        <v>9</v>
      </c>
      <c r="B19" s="1026" t="s">
        <v>164</v>
      </c>
      <c r="C19" s="1026"/>
      <c r="D19" s="212" t="s">
        <v>163</v>
      </c>
      <c r="E19" s="212">
        <v>4</v>
      </c>
      <c r="F19" s="182" t="e">
        <f>'1 этаж (2011)'!F19</f>
        <v>#REF!</v>
      </c>
      <c r="G19" s="212">
        <v>20</v>
      </c>
      <c r="H19" s="169" t="e">
        <f t="shared" si="1"/>
        <v>#REF!</v>
      </c>
      <c r="I19" s="201" t="e">
        <f t="shared" si="0"/>
        <v>#REF!</v>
      </c>
    </row>
    <row r="20" spans="1:9" s="215" customFormat="1" ht="15.75" customHeight="1" x14ac:dyDescent="0.3">
      <c r="A20" s="212">
        <v>10</v>
      </c>
      <c r="B20" s="1014" t="s">
        <v>191</v>
      </c>
      <c r="C20" s="1014"/>
      <c r="D20" s="212" t="s">
        <v>165</v>
      </c>
      <c r="E20" s="212">
        <v>6</v>
      </c>
      <c r="F20" s="201" t="e">
        <f>#REF!</f>
        <v>#REF!</v>
      </c>
      <c r="G20" s="212">
        <v>4</v>
      </c>
      <c r="H20" s="169" t="e">
        <f t="shared" si="1"/>
        <v>#REF!</v>
      </c>
      <c r="I20" s="201" t="e">
        <f t="shared" si="0"/>
        <v>#REF!</v>
      </c>
    </row>
    <row r="21" spans="1:9" x14ac:dyDescent="0.3">
      <c r="A21" s="212">
        <v>11</v>
      </c>
      <c r="B21" s="1028" t="s">
        <v>153</v>
      </c>
      <c r="C21" s="1028"/>
      <c r="D21" s="217"/>
      <c r="E21" s="216"/>
      <c r="F21" s="216"/>
      <c r="G21" s="216"/>
      <c r="H21" s="218" t="e">
        <f>SUM(H11:H20)</f>
        <v>#REF!</v>
      </c>
      <c r="I21" s="202" t="e">
        <f t="shared" si="0"/>
        <v>#REF!</v>
      </c>
    </row>
    <row r="22" spans="1:9" x14ac:dyDescent="0.3">
      <c r="A22" s="219"/>
      <c r="B22" s="220"/>
      <c r="C22" s="221"/>
      <c r="D22" s="220"/>
      <c r="E22" s="219"/>
      <c r="F22" s="219"/>
      <c r="G22" s="219"/>
      <c r="H22" s="222"/>
      <c r="I22" s="219"/>
    </row>
    <row r="24" spans="1:9" s="193" customFormat="1" ht="18" x14ac:dyDescent="0.35">
      <c r="A24" s="1019" t="s">
        <v>193</v>
      </c>
      <c r="B24" s="1019"/>
      <c r="C24" s="1019"/>
      <c r="D24" s="1019"/>
      <c r="E24" s="1019"/>
      <c r="F24" s="1019"/>
      <c r="G24" s="1019"/>
      <c r="H24" s="1019"/>
      <c r="I24" s="1019"/>
    </row>
    <row r="25" spans="1:9" s="171" customFormat="1" ht="18" customHeight="1" x14ac:dyDescent="0.3"/>
    <row r="26" spans="1:9" s="171" customFormat="1" x14ac:dyDescent="0.3">
      <c r="F26" s="194"/>
      <c r="G26" s="195"/>
      <c r="H26" s="196"/>
    </row>
    <row r="27" spans="1:9" s="171" customFormat="1" x14ac:dyDescent="0.3">
      <c r="A27" s="197"/>
      <c r="G27" s="195"/>
      <c r="H27" s="196"/>
    </row>
    <row r="28" spans="1:9" s="171" customFormat="1" ht="18.600000000000001" x14ac:dyDescent="0.3">
      <c r="A28" s="197" t="s">
        <v>173</v>
      </c>
      <c r="F28" s="198">
        <f>47*G19</f>
        <v>940</v>
      </c>
      <c r="G28" s="171" t="s">
        <v>194</v>
      </c>
    </row>
    <row r="29" spans="1:9" s="193" customFormat="1" ht="16.2" x14ac:dyDescent="0.35">
      <c r="A29" s="199" t="s">
        <v>174</v>
      </c>
      <c r="F29" s="200" t="e">
        <f>ROUND(H21/F28,2)</f>
        <v>#REF!</v>
      </c>
      <c r="G29" s="193" t="s">
        <v>32</v>
      </c>
    </row>
  </sheetData>
  <mergeCells count="17">
    <mergeCell ref="B15:C15"/>
    <mergeCell ref="B16:C16"/>
    <mergeCell ref="B13:C13"/>
    <mergeCell ref="A24:I24"/>
    <mergeCell ref="B19:C19"/>
    <mergeCell ref="A5:I5"/>
    <mergeCell ref="B10:C10"/>
    <mergeCell ref="B20:C20"/>
    <mergeCell ref="B21:C21"/>
    <mergeCell ref="B18:C18"/>
    <mergeCell ref="B14:C14"/>
    <mergeCell ref="B6:H6"/>
    <mergeCell ref="B8:I8"/>
    <mergeCell ref="B11:C11"/>
    <mergeCell ref="B12:C12"/>
    <mergeCell ref="B9:C9"/>
    <mergeCell ref="B17:C17"/>
  </mergeCells>
  <phoneticPr fontId="16" type="noConversion"/>
  <printOptions horizontalCentered="1"/>
  <pageMargins left="0" right="0" top="0" bottom="0" header="0" footer="0"/>
  <pageSetup paperSize="9" scale="77" fitToHeight="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Z40"/>
  <sheetViews>
    <sheetView view="pageBreakPreview" topLeftCell="A5" zoomScale="60" zoomScaleNormal="100" workbookViewId="0">
      <selection activeCell="C19" sqref="C19:C22"/>
    </sheetView>
  </sheetViews>
  <sheetFormatPr defaultColWidth="9" defaultRowHeight="15.6" outlineLevelCol="2" x14ac:dyDescent="0.3"/>
  <cols>
    <col min="1" max="1" width="5.19921875" style="1" customWidth="1"/>
    <col min="2" max="2" width="80.8984375" style="2" customWidth="1"/>
    <col min="3" max="3" width="11.5" style="2" customWidth="1"/>
    <col min="4" max="4" width="12.69921875" style="2" customWidth="1"/>
    <col min="5" max="5" width="10.59765625" style="2" hidden="1" customWidth="1" outlineLevel="1"/>
    <col min="6" max="6" width="9" style="2" collapsed="1"/>
    <col min="7" max="7" width="8.3984375" style="2" customWidth="1"/>
    <col min="8" max="8" width="10.19921875" style="2" hidden="1" customWidth="1"/>
    <col min="9" max="9" width="8" style="2" hidden="1" customWidth="1" outlineLevel="1"/>
    <col min="10" max="10" width="9.09765625" style="2" hidden="1" customWidth="1" outlineLevel="1"/>
    <col min="11" max="11" width="9.8984375" style="2" hidden="1" customWidth="1" outlineLevel="1"/>
    <col min="12" max="12" width="13.3984375" style="2" hidden="1" customWidth="1" collapsed="1"/>
    <col min="13" max="14" width="9.19921875" style="2" hidden="1" customWidth="1" outlineLevel="1"/>
    <col min="15" max="15" width="12.3984375" style="2" hidden="1" customWidth="1" collapsed="1"/>
    <col min="16" max="16" width="15" style="2" hidden="1" customWidth="1"/>
    <col min="17" max="17" width="11.19921875" style="2" hidden="1" customWidth="1" outlineLevel="2"/>
    <col min="18" max="18" width="10" style="4" hidden="1" customWidth="1" outlineLevel="2"/>
    <col min="19" max="20" width="9" style="5" hidden="1" customWidth="1" outlineLevel="2"/>
    <col min="21" max="21" width="15.3984375" style="2" hidden="1" customWidth="1" outlineLevel="1" collapsed="1"/>
    <col min="22" max="22" width="10.09765625" style="2" hidden="1" customWidth="1"/>
    <col min="23" max="24" width="0" style="2" hidden="1" customWidth="1"/>
    <col min="25" max="25" width="13.69921875" style="2" customWidth="1"/>
    <col min="26" max="26" width="15.19921875" style="2" customWidth="1"/>
    <col min="27" max="16384" width="9" style="2"/>
  </cols>
  <sheetData>
    <row r="1" spans="1:26" ht="17.399999999999999" x14ac:dyDescent="0.35">
      <c r="P1" s="3" t="s">
        <v>0</v>
      </c>
    </row>
    <row r="2" spans="1:26" ht="17.399999999999999" x14ac:dyDescent="0.35">
      <c r="P2" s="6"/>
    </row>
    <row r="3" spans="1:26" ht="18" x14ac:dyDescent="0.35">
      <c r="P3" s="7" t="s">
        <v>1</v>
      </c>
    </row>
    <row r="4" spans="1:26" ht="18" x14ac:dyDescent="0.35">
      <c r="P4" s="8" t="s">
        <v>2</v>
      </c>
    </row>
    <row r="5" spans="1:26" ht="18" x14ac:dyDescent="0.35">
      <c r="P5" s="9"/>
    </row>
    <row r="6" spans="1:26" ht="18" x14ac:dyDescent="0.35">
      <c r="P6" s="8" t="s">
        <v>3</v>
      </c>
      <c r="Q6" s="10"/>
    </row>
    <row r="7" spans="1:26" ht="15" customHeight="1" x14ac:dyDescent="0.3">
      <c r="A7" s="2"/>
      <c r="Q7" s="11"/>
    </row>
    <row r="8" spans="1:26" ht="18" x14ac:dyDescent="0.35">
      <c r="A8" s="965" t="s">
        <v>4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11"/>
    </row>
    <row r="9" spans="1:26" ht="18" x14ac:dyDescent="0.35">
      <c r="A9" s="965" t="s">
        <v>5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</row>
    <row r="10" spans="1:26" ht="18" x14ac:dyDescent="0.35">
      <c r="A10" s="1036" t="s">
        <v>6</v>
      </c>
      <c r="B10" s="1036"/>
      <c r="C10" s="1036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</row>
    <row r="11" spans="1:26" ht="12.75" customHeight="1" x14ac:dyDescent="0.3">
      <c r="A11" s="967" t="s">
        <v>7</v>
      </c>
      <c r="B11" s="968" t="s">
        <v>8</v>
      </c>
      <c r="C11" s="954" t="s">
        <v>9</v>
      </c>
      <c r="D11" s="954" t="s">
        <v>10</v>
      </c>
      <c r="E11" s="954" t="s">
        <v>82</v>
      </c>
      <c r="F11" s="954" t="s">
        <v>11</v>
      </c>
      <c r="G11" s="954" t="s">
        <v>12</v>
      </c>
      <c r="H11" s="954" t="s">
        <v>13</v>
      </c>
      <c r="I11" s="954" t="s">
        <v>14</v>
      </c>
      <c r="J11" s="954" t="s">
        <v>15</v>
      </c>
      <c r="K11" s="954" t="s">
        <v>16</v>
      </c>
      <c r="L11" s="954" t="s">
        <v>17</v>
      </c>
      <c r="M11" s="954" t="s">
        <v>18</v>
      </c>
      <c r="N11" s="954" t="s">
        <v>19</v>
      </c>
      <c r="O11" s="954" t="s">
        <v>83</v>
      </c>
      <c r="P11" s="954" t="s">
        <v>96</v>
      </c>
      <c r="Q11" s="954" t="s">
        <v>20</v>
      </c>
      <c r="R11" s="960" t="s">
        <v>21</v>
      </c>
      <c r="S11" s="972" t="s">
        <v>22</v>
      </c>
      <c r="T11" s="973"/>
      <c r="U11" s="930" t="s">
        <v>101</v>
      </c>
      <c r="V11" s="930" t="s">
        <v>84</v>
      </c>
      <c r="Y11" s="954" t="s">
        <v>102</v>
      </c>
      <c r="Z11" s="954" t="s">
        <v>103</v>
      </c>
    </row>
    <row r="12" spans="1:26" ht="12.75" customHeight="1" x14ac:dyDescent="0.3">
      <c r="A12" s="963"/>
      <c r="B12" s="969"/>
      <c r="C12" s="963" t="s">
        <v>23</v>
      </c>
      <c r="D12" s="963" t="s">
        <v>24</v>
      </c>
      <c r="E12" s="963" t="s">
        <v>24</v>
      </c>
      <c r="F12" s="963" t="s">
        <v>25</v>
      </c>
      <c r="G12" s="963" t="s">
        <v>26</v>
      </c>
      <c r="H12" s="963" t="s">
        <v>27</v>
      </c>
      <c r="I12" s="963"/>
      <c r="J12" s="963"/>
      <c r="K12" s="963"/>
      <c r="L12" s="963"/>
      <c r="M12" s="963"/>
      <c r="N12" s="963"/>
      <c r="O12" s="955"/>
      <c r="P12" s="955"/>
      <c r="Q12" s="955"/>
      <c r="R12" s="961"/>
      <c r="S12" s="974"/>
      <c r="T12" s="975"/>
      <c r="U12" s="931"/>
      <c r="V12" s="931"/>
      <c r="Y12" s="963"/>
      <c r="Z12" s="963"/>
    </row>
    <row r="13" spans="1:26" x14ac:dyDescent="0.3">
      <c r="A13" s="963"/>
      <c r="B13" s="969"/>
      <c r="C13" s="963"/>
      <c r="D13" s="963" t="s">
        <v>31</v>
      </c>
      <c r="E13" s="963" t="s">
        <v>31</v>
      </c>
      <c r="F13" s="963" t="s">
        <v>32</v>
      </c>
      <c r="G13" s="963" t="s">
        <v>33</v>
      </c>
      <c r="H13" s="963" t="s">
        <v>34</v>
      </c>
      <c r="I13" s="963"/>
      <c r="J13" s="963"/>
      <c r="K13" s="963"/>
      <c r="L13" s="963"/>
      <c r="M13" s="963"/>
      <c r="N13" s="963"/>
      <c r="O13" s="955"/>
      <c r="P13" s="955"/>
      <c r="Q13" s="955"/>
      <c r="R13" s="961"/>
      <c r="S13" s="974"/>
      <c r="T13" s="975"/>
      <c r="U13" s="931"/>
      <c r="V13" s="931"/>
      <c r="Y13" s="963"/>
      <c r="Z13" s="963"/>
    </row>
    <row r="14" spans="1:26" ht="79.5" customHeight="1" x14ac:dyDescent="0.3">
      <c r="A14" s="964"/>
      <c r="B14" s="970"/>
      <c r="C14" s="964"/>
      <c r="D14" s="964" t="s">
        <v>35</v>
      </c>
      <c r="E14" s="964" t="s">
        <v>35</v>
      </c>
      <c r="F14" s="964"/>
      <c r="G14" s="964" t="s">
        <v>36</v>
      </c>
      <c r="H14" s="964" t="s">
        <v>32</v>
      </c>
      <c r="I14" s="964"/>
      <c r="J14" s="964"/>
      <c r="K14" s="964"/>
      <c r="L14" s="964"/>
      <c r="M14" s="964"/>
      <c r="N14" s="964"/>
      <c r="O14" s="956"/>
      <c r="P14" s="956"/>
      <c r="Q14" s="956"/>
      <c r="R14" s="962"/>
      <c r="S14" s="976"/>
      <c r="T14" s="977"/>
      <c r="U14" s="931"/>
      <c r="V14" s="931"/>
      <c r="Y14" s="964"/>
      <c r="Z14" s="964"/>
    </row>
    <row r="15" spans="1:26" s="14" customFormat="1" ht="15.75" customHeight="1" x14ac:dyDescent="0.3">
      <c r="A15" s="54" t="s">
        <v>37</v>
      </c>
      <c r="B15" s="55">
        <v>2</v>
      </c>
      <c r="C15" s="56">
        <v>3</v>
      </c>
      <c r="D15" s="54" t="s">
        <v>38</v>
      </c>
      <c r="E15" s="54" t="s">
        <v>38</v>
      </c>
      <c r="F15" s="57">
        <v>5</v>
      </c>
      <c r="G15" s="56">
        <v>6</v>
      </c>
      <c r="H15" s="57">
        <v>7</v>
      </c>
      <c r="I15" s="57">
        <v>12</v>
      </c>
      <c r="J15" s="57">
        <v>13</v>
      </c>
      <c r="K15" s="57">
        <v>14</v>
      </c>
      <c r="L15" s="57">
        <v>8</v>
      </c>
      <c r="M15" s="57">
        <v>16</v>
      </c>
      <c r="N15" s="57">
        <v>17</v>
      </c>
      <c r="O15" s="58">
        <v>9</v>
      </c>
      <c r="P15" s="57">
        <v>10</v>
      </c>
      <c r="Q15" s="57"/>
      <c r="R15" s="12"/>
      <c r="S15" s="13"/>
      <c r="T15" s="13"/>
      <c r="U15" s="124">
        <v>11</v>
      </c>
      <c r="V15" s="124"/>
      <c r="Y15" s="59"/>
      <c r="Z15" s="59"/>
    </row>
    <row r="16" spans="1:26" x14ac:dyDescent="0.3">
      <c r="A16" s="60" t="s">
        <v>37</v>
      </c>
      <c r="B16" s="61" t="s">
        <v>39</v>
      </c>
      <c r="C16" s="62" t="s">
        <v>40</v>
      </c>
      <c r="D16" s="63" t="s">
        <v>41</v>
      </c>
      <c r="E16" s="63" t="s">
        <v>42</v>
      </c>
      <c r="F16" s="24" t="e">
        <f>F18</f>
        <v>#REF!</v>
      </c>
      <c r="G16" s="120">
        <f>0.53-0.17</f>
        <v>0.36</v>
      </c>
      <c r="H16" s="64" t="e">
        <f t="shared" ref="H16:H29" si="0">F16*G16</f>
        <v>#REF!</v>
      </c>
      <c r="I16" s="64" t="e">
        <f t="shared" ref="I16:I29" si="1">H16*10%</f>
        <v>#REF!</v>
      </c>
      <c r="J16" s="64" t="e">
        <f t="shared" ref="J16:J29" si="2">H16*26.3%</f>
        <v>#REF!</v>
      </c>
      <c r="K16" s="64" t="e">
        <f t="shared" ref="K16:K29" si="3">H16*196.2%</f>
        <v>#REF!</v>
      </c>
      <c r="L16" s="64" t="e">
        <f t="shared" ref="L16:L29" si="4">SUM(H16:K16)</f>
        <v>#REF!</v>
      </c>
      <c r="M16" s="64" t="e">
        <f t="shared" ref="M16:M29" si="5">L16*10%</f>
        <v>#REF!</v>
      </c>
      <c r="N16" s="64" t="e">
        <f t="shared" ref="N16:N29" si="6">(L16+M16)*18%</f>
        <v>#REF!</v>
      </c>
      <c r="O16" s="64" t="e">
        <f t="shared" ref="O16:O33" si="7">P16*12</f>
        <v>#REF!</v>
      </c>
      <c r="P16" s="64" t="e">
        <f>S16</f>
        <v>#REF!</v>
      </c>
      <c r="Q16" s="64" t="e">
        <f t="shared" ref="Q16:Q29" si="8">L16+M16+N16</f>
        <v>#REF!</v>
      </c>
      <c r="R16" s="18"/>
      <c r="S16" s="19" t="e">
        <f t="shared" ref="S16:S29" si="9">ROUNDDOWN(Q16/12,1)</f>
        <v>#REF!</v>
      </c>
      <c r="T16" s="19" t="e">
        <f t="shared" ref="T16:T29" si="10">S16*12</f>
        <v>#REF!</v>
      </c>
      <c r="U16" s="68">
        <f>'[14]Физлица (мног. дом) Прилож №3'!P16</f>
        <v>3.8</v>
      </c>
      <c r="V16" s="125" t="e">
        <f t="shared" ref="V16:V33" si="11">P16/U16</f>
        <v>#REF!</v>
      </c>
      <c r="W16" s="65" t="e">
        <f>F16/'[15]Приложение № 3'!F11</f>
        <v>#REF!</v>
      </c>
      <c r="Y16" s="130" t="e">
        <f>P16+$P$29</f>
        <v>#REF!</v>
      </c>
      <c r="Z16" s="129" t="e">
        <f>#REF!</f>
        <v>#REF!</v>
      </c>
    </row>
    <row r="17" spans="1:26" x14ac:dyDescent="0.3">
      <c r="A17" s="66" t="s">
        <v>43</v>
      </c>
      <c r="B17" s="67" t="s">
        <v>44</v>
      </c>
      <c r="C17" s="68" t="s">
        <v>45</v>
      </c>
      <c r="D17" s="15" t="s">
        <v>41</v>
      </c>
      <c r="E17" s="15" t="s">
        <v>42</v>
      </c>
      <c r="F17" s="24" t="e">
        <f>$F$16</f>
        <v>#REF!</v>
      </c>
      <c r="G17" s="24">
        <f>0.62-0.17</f>
        <v>0.45</v>
      </c>
      <c r="H17" s="17" t="e">
        <f t="shared" si="0"/>
        <v>#REF!</v>
      </c>
      <c r="I17" s="17" t="e">
        <f t="shared" si="1"/>
        <v>#REF!</v>
      </c>
      <c r="J17" s="17" t="e">
        <f t="shared" si="2"/>
        <v>#REF!</v>
      </c>
      <c r="K17" s="17" t="e">
        <f t="shared" si="3"/>
        <v>#REF!</v>
      </c>
      <c r="L17" s="17" t="e">
        <f t="shared" si="4"/>
        <v>#REF!</v>
      </c>
      <c r="M17" s="17" t="e">
        <f t="shared" si="5"/>
        <v>#REF!</v>
      </c>
      <c r="N17" s="17" t="e">
        <f t="shared" si="6"/>
        <v>#REF!</v>
      </c>
      <c r="O17" s="17" t="e">
        <f t="shared" si="7"/>
        <v>#REF!</v>
      </c>
      <c r="P17" s="17" t="e">
        <f>S17</f>
        <v>#REF!</v>
      </c>
      <c r="Q17" s="17" t="e">
        <f t="shared" si="8"/>
        <v>#REF!</v>
      </c>
      <c r="R17" s="20"/>
      <c r="S17" s="21" t="e">
        <f t="shared" si="9"/>
        <v>#REF!</v>
      </c>
      <c r="T17" s="21" t="e">
        <f t="shared" si="10"/>
        <v>#REF!</v>
      </c>
      <c r="U17" s="68">
        <f>'[14]Физлица (мног. дом) Прилож №3'!P17</f>
        <v>4.8</v>
      </c>
      <c r="V17" s="125" t="e">
        <f t="shared" si="11"/>
        <v>#REF!</v>
      </c>
      <c r="W17" s="65" t="e">
        <f>F17/'[15]Приложение № 3'!F12</f>
        <v>#REF!</v>
      </c>
      <c r="Y17" s="130" t="e">
        <f>P17+$P$29</f>
        <v>#REF!</v>
      </c>
      <c r="Z17" s="129" t="e">
        <f>#REF!</f>
        <v>#REF!</v>
      </c>
    </row>
    <row r="18" spans="1:26" s="26" customFormat="1" x14ac:dyDescent="0.3">
      <c r="A18" s="69" t="s">
        <v>46</v>
      </c>
      <c r="B18" s="70" t="s">
        <v>47</v>
      </c>
      <c r="C18" s="71" t="s">
        <v>45</v>
      </c>
      <c r="D18" s="15" t="s">
        <v>41</v>
      </c>
      <c r="E18" s="22" t="s">
        <v>42</v>
      </c>
      <c r="F18" s="23" t="e">
        <f>#REF!</f>
        <v>#REF!</v>
      </c>
      <c r="G18" s="24">
        <f>0.7-0.17</f>
        <v>0.53</v>
      </c>
      <c r="H18" s="24" t="e">
        <f t="shared" si="0"/>
        <v>#REF!</v>
      </c>
      <c r="I18" s="24" t="e">
        <f t="shared" si="1"/>
        <v>#REF!</v>
      </c>
      <c r="J18" s="24" t="e">
        <f t="shared" si="2"/>
        <v>#REF!</v>
      </c>
      <c r="K18" s="24" t="e">
        <f t="shared" si="3"/>
        <v>#REF!</v>
      </c>
      <c r="L18" s="17" t="e">
        <f t="shared" si="4"/>
        <v>#REF!</v>
      </c>
      <c r="M18" s="17" t="e">
        <f t="shared" si="5"/>
        <v>#REF!</v>
      </c>
      <c r="N18" s="17" t="e">
        <f t="shared" si="6"/>
        <v>#REF!</v>
      </c>
      <c r="O18" s="17" t="e">
        <f t="shared" si="7"/>
        <v>#REF!</v>
      </c>
      <c r="P18" s="17" t="e">
        <f>S18</f>
        <v>#REF!</v>
      </c>
      <c r="Q18" s="17" t="e">
        <f t="shared" si="8"/>
        <v>#REF!</v>
      </c>
      <c r="R18" s="25" t="e">
        <f>F18*165</f>
        <v>#REF!</v>
      </c>
      <c r="S18" s="21" t="e">
        <f t="shared" si="9"/>
        <v>#REF!</v>
      </c>
      <c r="T18" s="21" t="e">
        <f t="shared" si="10"/>
        <v>#REF!</v>
      </c>
      <c r="U18" s="68">
        <f>'[14]Физлица (мног. дом) Прилож №3'!P18</f>
        <v>5.7</v>
      </c>
      <c r="V18" s="125" t="e">
        <f t="shared" si="11"/>
        <v>#REF!</v>
      </c>
      <c r="W18" s="65" t="e">
        <f>F18/'[15]Приложение № 3'!F13</f>
        <v>#REF!</v>
      </c>
      <c r="Y18" s="130" t="e">
        <f>P18+$P$29</f>
        <v>#REF!</v>
      </c>
      <c r="Z18" s="129" t="e">
        <f>#REF!</f>
        <v>#REF!</v>
      </c>
    </row>
    <row r="19" spans="1:26" s="28" customFormat="1" ht="31.2" x14ac:dyDescent="0.3">
      <c r="A19" s="69" t="s">
        <v>38</v>
      </c>
      <c r="B19" s="72" t="s">
        <v>48</v>
      </c>
      <c r="C19" s="71" t="s">
        <v>40</v>
      </c>
      <c r="D19" s="15" t="s">
        <v>41</v>
      </c>
      <c r="E19" s="22" t="s">
        <v>42</v>
      </c>
      <c r="F19" s="24" t="e">
        <f>F18</f>
        <v>#REF!</v>
      </c>
      <c r="G19" s="24">
        <f>0.88-0.17</f>
        <v>0.71</v>
      </c>
      <c r="H19" s="17" t="e">
        <f t="shared" si="0"/>
        <v>#REF!</v>
      </c>
      <c r="I19" s="17" t="e">
        <f t="shared" si="1"/>
        <v>#REF!</v>
      </c>
      <c r="J19" s="17" t="e">
        <f t="shared" si="2"/>
        <v>#REF!</v>
      </c>
      <c r="K19" s="17" t="e">
        <f t="shared" si="3"/>
        <v>#REF!</v>
      </c>
      <c r="L19" s="17" t="e">
        <f t="shared" si="4"/>
        <v>#REF!</v>
      </c>
      <c r="M19" s="17" t="e">
        <f t="shared" si="5"/>
        <v>#REF!</v>
      </c>
      <c r="N19" s="17" t="e">
        <f t="shared" si="6"/>
        <v>#REF!</v>
      </c>
      <c r="O19" s="17" t="e">
        <f t="shared" si="7"/>
        <v>#REF!</v>
      </c>
      <c r="P19" s="17" t="e">
        <f>S19</f>
        <v>#REF!</v>
      </c>
      <c r="Q19" s="17" t="e">
        <f t="shared" si="8"/>
        <v>#REF!</v>
      </c>
      <c r="R19" s="25"/>
      <c r="S19" s="27" t="e">
        <f t="shared" si="9"/>
        <v>#REF!</v>
      </c>
      <c r="T19" s="27" t="e">
        <f t="shared" si="10"/>
        <v>#REF!</v>
      </c>
      <c r="U19" s="68">
        <f>'[14]Физлица (мног. дом) Прилож №3'!P19</f>
        <v>7.6</v>
      </c>
      <c r="V19" s="125" t="e">
        <f t="shared" si="11"/>
        <v>#REF!</v>
      </c>
      <c r="W19" s="65" t="e">
        <f>F19/'[15]Приложение № 3'!F14</f>
        <v>#REF!</v>
      </c>
      <c r="Y19" s="130" t="e">
        <f>P19+$P$29</f>
        <v>#REF!</v>
      </c>
      <c r="Z19" s="129" t="e">
        <f>#REF!</f>
        <v>#REF!</v>
      </c>
    </row>
    <row r="20" spans="1:26" x14ac:dyDescent="0.3">
      <c r="A20" s="66" t="s">
        <v>49</v>
      </c>
      <c r="B20" s="67" t="s">
        <v>50</v>
      </c>
      <c r="C20" s="68" t="s">
        <v>45</v>
      </c>
      <c r="D20" s="15" t="s">
        <v>41</v>
      </c>
      <c r="E20" s="15" t="s">
        <v>42</v>
      </c>
      <c r="F20" s="24" t="e">
        <f>$F$16</f>
        <v>#REF!</v>
      </c>
      <c r="G20" s="24">
        <v>0.32</v>
      </c>
      <c r="H20" s="17" t="e">
        <f t="shared" si="0"/>
        <v>#REF!</v>
      </c>
      <c r="I20" s="17" t="e">
        <f t="shared" si="1"/>
        <v>#REF!</v>
      </c>
      <c r="J20" s="17" t="e">
        <f t="shared" si="2"/>
        <v>#REF!</v>
      </c>
      <c r="K20" s="17" t="e">
        <f t="shared" si="3"/>
        <v>#REF!</v>
      </c>
      <c r="L20" s="17" t="e">
        <f t="shared" si="4"/>
        <v>#REF!</v>
      </c>
      <c r="M20" s="17" t="e">
        <f t="shared" si="5"/>
        <v>#REF!</v>
      </c>
      <c r="N20" s="17" t="e">
        <f t="shared" si="6"/>
        <v>#REF!</v>
      </c>
      <c r="O20" s="17" t="e">
        <f t="shared" si="7"/>
        <v>#REF!</v>
      </c>
      <c r="P20" s="128" t="e">
        <f>S20-0.1</f>
        <v>#REF!</v>
      </c>
      <c r="Q20" s="17" t="e">
        <f t="shared" si="8"/>
        <v>#REF!</v>
      </c>
      <c r="R20" s="25"/>
      <c r="S20" s="27" t="e">
        <f t="shared" si="9"/>
        <v>#REF!</v>
      </c>
      <c r="T20" s="27" t="e">
        <f t="shared" si="10"/>
        <v>#REF!</v>
      </c>
      <c r="U20" s="68">
        <f>'[14]Физлица (мног. дом) Прилож №3'!P20</f>
        <v>3.4</v>
      </c>
      <c r="V20" s="125" t="e">
        <f t="shared" si="11"/>
        <v>#REF!</v>
      </c>
      <c r="W20" s="65" t="e">
        <f>F20/'[15]Приложение № 3'!F15</f>
        <v>#REF!</v>
      </c>
      <c r="Y20" s="130"/>
      <c r="Z20" s="129"/>
    </row>
    <row r="21" spans="1:26" ht="16.5" customHeight="1" x14ac:dyDescent="0.3">
      <c r="A21" s="66" t="s">
        <v>51</v>
      </c>
      <c r="B21" s="72" t="s">
        <v>52</v>
      </c>
      <c r="C21" s="71" t="s">
        <v>53</v>
      </c>
      <c r="D21" s="22" t="s">
        <v>42</v>
      </c>
      <c r="E21" s="22" t="s">
        <v>54</v>
      </c>
      <c r="F21" s="23" t="e">
        <f>#REF!</f>
        <v>#REF!</v>
      </c>
      <c r="G21" s="24">
        <f>0.93-0.17</f>
        <v>0.76</v>
      </c>
      <c r="H21" s="17" t="e">
        <f t="shared" si="0"/>
        <v>#REF!</v>
      </c>
      <c r="I21" s="17" t="e">
        <f t="shared" si="1"/>
        <v>#REF!</v>
      </c>
      <c r="J21" s="17" t="e">
        <f t="shared" si="2"/>
        <v>#REF!</v>
      </c>
      <c r="K21" s="17" t="e">
        <f t="shared" si="3"/>
        <v>#REF!</v>
      </c>
      <c r="L21" s="17" t="e">
        <f t="shared" si="4"/>
        <v>#REF!</v>
      </c>
      <c r="M21" s="17" t="e">
        <f t="shared" si="5"/>
        <v>#REF!</v>
      </c>
      <c r="N21" s="17" t="e">
        <f t="shared" si="6"/>
        <v>#REF!</v>
      </c>
      <c r="O21" s="17" t="e">
        <f t="shared" si="7"/>
        <v>#REF!</v>
      </c>
      <c r="P21" s="17" t="e">
        <f>S21</f>
        <v>#REF!</v>
      </c>
      <c r="Q21" s="17" t="e">
        <f t="shared" si="8"/>
        <v>#REF!</v>
      </c>
      <c r="R21" s="25" t="e">
        <f>F21*165</f>
        <v>#REF!</v>
      </c>
      <c r="S21" s="27" t="e">
        <f t="shared" si="9"/>
        <v>#REF!</v>
      </c>
      <c r="T21" s="27" t="e">
        <f t="shared" si="10"/>
        <v>#REF!</v>
      </c>
      <c r="U21" s="68">
        <f>'[14]Физлица (мног. дом) Прилож №3'!P21</f>
        <v>10.6</v>
      </c>
      <c r="V21" s="125" t="e">
        <f t="shared" si="11"/>
        <v>#REF!</v>
      </c>
      <c r="W21" s="65" t="e">
        <f>F21/'[15]Приложение № 3'!F16</f>
        <v>#REF!</v>
      </c>
      <c r="Y21" s="130" t="e">
        <f t="shared" ref="Y21:Y26" si="12">P21+$P$29</f>
        <v>#REF!</v>
      </c>
      <c r="Z21" s="129" t="e">
        <f>#REF!</f>
        <v>#REF!</v>
      </c>
    </row>
    <row r="22" spans="1:26" x14ac:dyDescent="0.3">
      <c r="A22" s="66" t="s">
        <v>55</v>
      </c>
      <c r="B22" s="67" t="s">
        <v>56</v>
      </c>
      <c r="C22" s="68" t="s">
        <v>45</v>
      </c>
      <c r="D22" s="15" t="s">
        <v>41</v>
      </c>
      <c r="E22" s="15" t="s">
        <v>42</v>
      </c>
      <c r="F22" s="24" t="e">
        <f>$F$16</f>
        <v>#REF!</v>
      </c>
      <c r="G22" s="24">
        <f>0.77-0.17</f>
        <v>0.6</v>
      </c>
      <c r="H22" s="17" t="e">
        <f t="shared" si="0"/>
        <v>#REF!</v>
      </c>
      <c r="I22" s="17" t="e">
        <f t="shared" si="1"/>
        <v>#REF!</v>
      </c>
      <c r="J22" s="17" t="e">
        <f t="shared" si="2"/>
        <v>#REF!</v>
      </c>
      <c r="K22" s="17" t="e">
        <f t="shared" si="3"/>
        <v>#REF!</v>
      </c>
      <c r="L22" s="17" t="e">
        <f t="shared" si="4"/>
        <v>#REF!</v>
      </c>
      <c r="M22" s="17" t="e">
        <f t="shared" si="5"/>
        <v>#REF!</v>
      </c>
      <c r="N22" s="17" t="e">
        <f t="shared" si="6"/>
        <v>#REF!</v>
      </c>
      <c r="O22" s="17" t="e">
        <f t="shared" si="7"/>
        <v>#REF!</v>
      </c>
      <c r="P22" s="128" t="e">
        <f>S22-0.1</f>
        <v>#REF!</v>
      </c>
      <c r="Q22" s="17" t="e">
        <f t="shared" si="8"/>
        <v>#REF!</v>
      </c>
      <c r="R22" s="25"/>
      <c r="S22" s="27" t="e">
        <f t="shared" si="9"/>
        <v>#REF!</v>
      </c>
      <c r="T22" s="27" t="e">
        <f t="shared" si="10"/>
        <v>#REF!</v>
      </c>
      <c r="U22" s="68">
        <f>'[14]Физлица (мног. дом) Прилож №3'!P22</f>
        <v>6.4</v>
      </c>
      <c r="V22" s="125" t="e">
        <f t="shared" si="11"/>
        <v>#REF!</v>
      </c>
      <c r="W22" s="65" t="e">
        <f>F22/'[15]Приложение № 3'!F17</f>
        <v>#REF!</v>
      </c>
      <c r="Y22" s="130" t="e">
        <f t="shared" si="12"/>
        <v>#REF!</v>
      </c>
      <c r="Z22" s="129" t="e">
        <f>#REF!</f>
        <v>#REF!</v>
      </c>
    </row>
    <row r="23" spans="1:26" x14ac:dyDescent="0.3">
      <c r="A23" s="66" t="s">
        <v>57</v>
      </c>
      <c r="B23" s="74" t="s">
        <v>58</v>
      </c>
      <c r="C23" s="68" t="s">
        <v>45</v>
      </c>
      <c r="D23" s="15" t="s">
        <v>42</v>
      </c>
      <c r="E23" s="15" t="s">
        <v>54</v>
      </c>
      <c r="F23" s="24" t="e">
        <f>$F$21</f>
        <v>#REF!</v>
      </c>
      <c r="G23" s="24">
        <f>1.24-0.17</f>
        <v>1.07</v>
      </c>
      <c r="H23" s="17" t="e">
        <f t="shared" si="0"/>
        <v>#REF!</v>
      </c>
      <c r="I23" s="17" t="e">
        <f t="shared" si="1"/>
        <v>#REF!</v>
      </c>
      <c r="J23" s="17" t="e">
        <f t="shared" si="2"/>
        <v>#REF!</v>
      </c>
      <c r="K23" s="17" t="e">
        <f t="shared" si="3"/>
        <v>#REF!</v>
      </c>
      <c r="L23" s="17" t="e">
        <f t="shared" si="4"/>
        <v>#REF!</v>
      </c>
      <c r="M23" s="17" t="e">
        <f t="shared" si="5"/>
        <v>#REF!</v>
      </c>
      <c r="N23" s="17" t="e">
        <f t="shared" si="6"/>
        <v>#REF!</v>
      </c>
      <c r="O23" s="17" t="e">
        <f t="shared" si="7"/>
        <v>#REF!</v>
      </c>
      <c r="P23" s="17" t="e">
        <f>S23</f>
        <v>#REF!</v>
      </c>
      <c r="Q23" s="17" t="e">
        <f t="shared" si="8"/>
        <v>#REF!</v>
      </c>
      <c r="R23" s="20"/>
      <c r="S23" s="21" t="e">
        <f t="shared" si="9"/>
        <v>#REF!</v>
      </c>
      <c r="T23" s="21" t="e">
        <f t="shared" si="10"/>
        <v>#REF!</v>
      </c>
      <c r="U23" s="68">
        <f>'[14]Физлица (мног. дом) Прилож №3'!P23</f>
        <v>14.9</v>
      </c>
      <c r="V23" s="125" t="e">
        <f t="shared" si="11"/>
        <v>#REF!</v>
      </c>
      <c r="W23" s="65" t="e">
        <f>F23/'[15]Приложение № 3'!F18</f>
        <v>#REF!</v>
      </c>
      <c r="Y23" s="130" t="e">
        <f t="shared" si="12"/>
        <v>#REF!</v>
      </c>
      <c r="Z23" s="129" t="e">
        <f>#REF!</f>
        <v>#REF!</v>
      </c>
    </row>
    <row r="24" spans="1:26" x14ac:dyDescent="0.3">
      <c r="A24" s="66" t="s">
        <v>59</v>
      </c>
      <c r="B24" s="74" t="s">
        <v>60</v>
      </c>
      <c r="C24" s="68" t="s">
        <v>45</v>
      </c>
      <c r="D24" s="15" t="s">
        <v>42</v>
      </c>
      <c r="E24" s="15" t="s">
        <v>54</v>
      </c>
      <c r="F24" s="24" t="e">
        <f>$F$21</f>
        <v>#REF!</v>
      </c>
      <c r="G24" s="24">
        <f>2.4-0.17</f>
        <v>2.23</v>
      </c>
      <c r="H24" s="17" t="e">
        <f t="shared" si="0"/>
        <v>#REF!</v>
      </c>
      <c r="I24" s="17" t="e">
        <f t="shared" si="1"/>
        <v>#REF!</v>
      </c>
      <c r="J24" s="17" t="e">
        <f t="shared" si="2"/>
        <v>#REF!</v>
      </c>
      <c r="K24" s="17" t="e">
        <f t="shared" si="3"/>
        <v>#REF!</v>
      </c>
      <c r="L24" s="17" t="e">
        <f t="shared" si="4"/>
        <v>#REF!</v>
      </c>
      <c r="M24" s="17" t="e">
        <f t="shared" si="5"/>
        <v>#REF!</v>
      </c>
      <c r="N24" s="17" t="e">
        <f t="shared" si="6"/>
        <v>#REF!</v>
      </c>
      <c r="O24" s="17" t="e">
        <f t="shared" si="7"/>
        <v>#REF!</v>
      </c>
      <c r="P24" s="17" t="e">
        <f>S24</f>
        <v>#REF!</v>
      </c>
      <c r="Q24" s="17" t="e">
        <f t="shared" si="8"/>
        <v>#REF!</v>
      </c>
      <c r="R24" s="20"/>
      <c r="S24" s="21" t="e">
        <f t="shared" si="9"/>
        <v>#REF!</v>
      </c>
      <c r="T24" s="21" t="e">
        <f t="shared" si="10"/>
        <v>#REF!</v>
      </c>
      <c r="U24" s="68">
        <f>'[14]Физлица (мног. дом) Прилож №3'!P24</f>
        <v>31.1</v>
      </c>
      <c r="V24" s="125" t="e">
        <f t="shared" si="11"/>
        <v>#REF!</v>
      </c>
      <c r="W24" s="65" t="e">
        <f>F24/'[15]Приложение № 3'!F19</f>
        <v>#REF!</v>
      </c>
      <c r="Y24" s="130" t="e">
        <f t="shared" si="12"/>
        <v>#REF!</v>
      </c>
      <c r="Z24" s="129" t="e">
        <f>#REF!</f>
        <v>#REF!</v>
      </c>
    </row>
    <row r="25" spans="1:26" s="26" customFormat="1" ht="33" customHeight="1" x14ac:dyDescent="0.3">
      <c r="A25" s="66" t="s">
        <v>61</v>
      </c>
      <c r="B25" s="72" t="s">
        <v>62</v>
      </c>
      <c r="C25" s="71" t="str">
        <f>C24</f>
        <v>"</v>
      </c>
      <c r="D25" s="22" t="s">
        <v>54</v>
      </c>
      <c r="E25" s="22" t="s">
        <v>54</v>
      </c>
      <c r="F25" s="23" t="e">
        <f>#REF!</f>
        <v>#REF!</v>
      </c>
      <c r="G25" s="24">
        <f>3.64-0.17</f>
        <v>3.47</v>
      </c>
      <c r="H25" s="24" t="e">
        <f t="shared" si="0"/>
        <v>#REF!</v>
      </c>
      <c r="I25" s="24" t="e">
        <f t="shared" si="1"/>
        <v>#REF!</v>
      </c>
      <c r="J25" s="24" t="e">
        <f t="shared" si="2"/>
        <v>#REF!</v>
      </c>
      <c r="K25" s="17" t="e">
        <f t="shared" si="3"/>
        <v>#REF!</v>
      </c>
      <c r="L25" s="17" t="e">
        <f t="shared" si="4"/>
        <v>#REF!</v>
      </c>
      <c r="M25" s="17" t="e">
        <f t="shared" si="5"/>
        <v>#REF!</v>
      </c>
      <c r="N25" s="17" t="e">
        <f t="shared" si="6"/>
        <v>#REF!</v>
      </c>
      <c r="O25" s="17" t="e">
        <f t="shared" si="7"/>
        <v>#REF!</v>
      </c>
      <c r="P25" s="17" t="e">
        <f>S25</f>
        <v>#REF!</v>
      </c>
      <c r="Q25" s="17" t="e">
        <f t="shared" si="8"/>
        <v>#REF!</v>
      </c>
      <c r="R25" s="29"/>
      <c r="S25" s="21" t="e">
        <f t="shared" si="9"/>
        <v>#REF!</v>
      </c>
      <c r="T25" s="21" t="e">
        <f t="shared" si="10"/>
        <v>#REF!</v>
      </c>
      <c r="U25" s="68">
        <f>'[14]Физлица (мног. дом) Прилож №3'!P25</f>
        <v>60.5</v>
      </c>
      <c r="V25" s="125" t="e">
        <f t="shared" si="11"/>
        <v>#REF!</v>
      </c>
      <c r="W25" s="65" t="e">
        <f>F25/'[15]Приложение № 3'!F20</f>
        <v>#REF!</v>
      </c>
      <c r="Y25" s="130" t="e">
        <f t="shared" si="12"/>
        <v>#REF!</v>
      </c>
      <c r="Z25" s="129" t="e">
        <f>#REF!</f>
        <v>#REF!</v>
      </c>
    </row>
    <row r="26" spans="1:26" x14ac:dyDescent="0.3">
      <c r="A26" s="66" t="s">
        <v>63</v>
      </c>
      <c r="B26" s="67" t="s">
        <v>64</v>
      </c>
      <c r="C26" s="68" t="s">
        <v>65</v>
      </c>
      <c r="D26" s="15" t="s">
        <v>41</v>
      </c>
      <c r="E26" s="15" t="s">
        <v>42</v>
      </c>
      <c r="F26" s="24" t="e">
        <f>$F$16</f>
        <v>#REF!</v>
      </c>
      <c r="G26" s="24">
        <f>0.73-0.17</f>
        <v>0.56000000000000005</v>
      </c>
      <c r="H26" s="17" t="e">
        <f t="shared" si="0"/>
        <v>#REF!</v>
      </c>
      <c r="I26" s="17" t="e">
        <f t="shared" si="1"/>
        <v>#REF!</v>
      </c>
      <c r="J26" s="17" t="e">
        <f t="shared" si="2"/>
        <v>#REF!</v>
      </c>
      <c r="K26" s="17" t="e">
        <f t="shared" si="3"/>
        <v>#REF!</v>
      </c>
      <c r="L26" s="17" t="e">
        <f t="shared" si="4"/>
        <v>#REF!</v>
      </c>
      <c r="M26" s="17" t="e">
        <f t="shared" si="5"/>
        <v>#REF!</v>
      </c>
      <c r="N26" s="17" t="e">
        <f t="shared" si="6"/>
        <v>#REF!</v>
      </c>
      <c r="O26" s="17" t="e">
        <f t="shared" si="7"/>
        <v>#REF!</v>
      </c>
      <c r="P26" s="17" t="e">
        <f>S26</f>
        <v>#REF!</v>
      </c>
      <c r="Q26" s="17" t="e">
        <f t="shared" si="8"/>
        <v>#REF!</v>
      </c>
      <c r="R26" s="20"/>
      <c r="S26" s="21" t="e">
        <f t="shared" si="9"/>
        <v>#REF!</v>
      </c>
      <c r="T26" s="21" t="e">
        <f t="shared" si="10"/>
        <v>#REF!</v>
      </c>
      <c r="U26" s="68">
        <f>'[14]Физлица (мног. дом) Прилож №3'!P26</f>
        <v>6</v>
      </c>
      <c r="V26" s="125" t="e">
        <f t="shared" si="11"/>
        <v>#REF!</v>
      </c>
      <c r="W26" s="65" t="e">
        <f>F26/'[15]Приложение № 3'!F21</f>
        <v>#REF!</v>
      </c>
      <c r="Y26" s="130" t="e">
        <f t="shared" si="12"/>
        <v>#REF!</v>
      </c>
      <c r="Z26" s="129" t="e">
        <f>#REF!</f>
        <v>#REF!</v>
      </c>
    </row>
    <row r="27" spans="1:26" ht="31.2" x14ac:dyDescent="0.3">
      <c r="A27" s="66" t="s">
        <v>66</v>
      </c>
      <c r="B27" s="74" t="s">
        <v>67</v>
      </c>
      <c r="C27" s="68" t="s">
        <v>45</v>
      </c>
      <c r="D27" s="15" t="s">
        <v>42</v>
      </c>
      <c r="E27" s="15" t="s">
        <v>54</v>
      </c>
      <c r="F27" s="24" t="e">
        <f>$F$21</f>
        <v>#REF!</v>
      </c>
      <c r="G27" s="24">
        <v>0.5</v>
      </c>
      <c r="H27" s="17" t="e">
        <f t="shared" si="0"/>
        <v>#REF!</v>
      </c>
      <c r="I27" s="17" t="e">
        <f t="shared" si="1"/>
        <v>#REF!</v>
      </c>
      <c r="J27" s="17" t="e">
        <f t="shared" si="2"/>
        <v>#REF!</v>
      </c>
      <c r="K27" s="17" t="e">
        <f t="shared" si="3"/>
        <v>#REF!</v>
      </c>
      <c r="L27" s="17" t="e">
        <f t="shared" si="4"/>
        <v>#REF!</v>
      </c>
      <c r="M27" s="17" t="e">
        <f t="shared" si="5"/>
        <v>#REF!</v>
      </c>
      <c r="N27" s="17" t="e">
        <f t="shared" si="6"/>
        <v>#REF!</v>
      </c>
      <c r="O27" s="17" t="e">
        <f t="shared" si="7"/>
        <v>#REF!</v>
      </c>
      <c r="P27" s="17" t="e">
        <f>S27</f>
        <v>#REF!</v>
      </c>
      <c r="Q27" s="17" t="e">
        <f t="shared" si="8"/>
        <v>#REF!</v>
      </c>
      <c r="R27" s="20"/>
      <c r="S27" s="21" t="e">
        <f t="shared" si="9"/>
        <v>#REF!</v>
      </c>
      <c r="T27" s="21" t="e">
        <f t="shared" si="10"/>
        <v>#REF!</v>
      </c>
      <c r="U27" s="68">
        <f>'[14]Физлица (мног. дом) Прилож №3'!P27</f>
        <v>6.9</v>
      </c>
      <c r="V27" s="125" t="e">
        <f t="shared" si="11"/>
        <v>#REF!</v>
      </c>
      <c r="W27" s="65" t="e">
        <f>F27/'[15]Приложение № 3'!F22</f>
        <v>#REF!</v>
      </c>
      <c r="Y27" s="130"/>
      <c r="Z27" s="129"/>
    </row>
    <row r="28" spans="1:26" s="26" customFormat="1" x14ac:dyDescent="0.3">
      <c r="A28" s="66" t="s">
        <v>68</v>
      </c>
      <c r="B28" s="70" t="s">
        <v>69</v>
      </c>
      <c r="C28" s="71" t="s">
        <v>70</v>
      </c>
      <c r="D28" s="22" t="s">
        <v>42</v>
      </c>
      <c r="E28" s="22" t="s">
        <v>54</v>
      </c>
      <c r="F28" s="24" t="e">
        <f>$F$21</f>
        <v>#REF!</v>
      </c>
      <c r="G28" s="24">
        <v>0.3</v>
      </c>
      <c r="H28" s="17" t="e">
        <f t="shared" si="0"/>
        <v>#REF!</v>
      </c>
      <c r="I28" s="24" t="e">
        <f t="shared" si="1"/>
        <v>#REF!</v>
      </c>
      <c r="J28" s="24" t="e">
        <f t="shared" si="2"/>
        <v>#REF!</v>
      </c>
      <c r="K28" s="24" t="e">
        <f t="shared" si="3"/>
        <v>#REF!</v>
      </c>
      <c r="L28" s="17" t="e">
        <f t="shared" si="4"/>
        <v>#REF!</v>
      </c>
      <c r="M28" s="17" t="e">
        <f t="shared" si="5"/>
        <v>#REF!</v>
      </c>
      <c r="N28" s="17" t="e">
        <f t="shared" si="6"/>
        <v>#REF!</v>
      </c>
      <c r="O28" s="17" t="e">
        <f t="shared" si="7"/>
        <v>#REF!</v>
      </c>
      <c r="P28" s="17" t="e">
        <f>S28-0.1</f>
        <v>#REF!</v>
      </c>
      <c r="Q28" s="17" t="e">
        <f t="shared" si="8"/>
        <v>#REF!</v>
      </c>
      <c r="R28" s="29"/>
      <c r="S28" s="21" t="e">
        <f t="shared" si="9"/>
        <v>#REF!</v>
      </c>
      <c r="T28" s="21" t="e">
        <f t="shared" si="10"/>
        <v>#REF!</v>
      </c>
      <c r="U28" s="68">
        <f>'[14]Физлица (мног. дом) Прилож №3'!P28</f>
        <v>4.0999999999999996</v>
      </c>
      <c r="V28" s="125" t="e">
        <f t="shared" si="11"/>
        <v>#REF!</v>
      </c>
      <c r="W28" s="65" t="e">
        <f>F28/'[15]Приложение № 3'!F23</f>
        <v>#REF!</v>
      </c>
      <c r="Y28" s="130"/>
      <c r="Z28" s="131"/>
    </row>
    <row r="29" spans="1:26" x14ac:dyDescent="0.3">
      <c r="A29" s="66" t="s">
        <v>71</v>
      </c>
      <c r="B29" s="74" t="s">
        <v>72</v>
      </c>
      <c r="C29" s="75" t="s">
        <v>73</v>
      </c>
      <c r="D29" s="22" t="s">
        <v>42</v>
      </c>
      <c r="E29" s="15"/>
      <c r="F29" s="24" t="e">
        <f>$F$21</f>
        <v>#REF!</v>
      </c>
      <c r="G29" s="24">
        <v>0.17</v>
      </c>
      <c r="H29" s="17" t="e">
        <f t="shared" si="0"/>
        <v>#REF!</v>
      </c>
      <c r="I29" s="24" t="e">
        <f t="shared" si="1"/>
        <v>#REF!</v>
      </c>
      <c r="J29" s="24" t="e">
        <f t="shared" si="2"/>
        <v>#REF!</v>
      </c>
      <c r="K29" s="24" t="e">
        <f t="shared" si="3"/>
        <v>#REF!</v>
      </c>
      <c r="L29" s="17" t="e">
        <f t="shared" si="4"/>
        <v>#REF!</v>
      </c>
      <c r="M29" s="17" t="e">
        <f t="shared" si="5"/>
        <v>#REF!</v>
      </c>
      <c r="N29" s="17" t="e">
        <f t="shared" si="6"/>
        <v>#REF!</v>
      </c>
      <c r="O29" s="17" t="e">
        <f t="shared" si="7"/>
        <v>#REF!</v>
      </c>
      <c r="P29" s="17" t="e">
        <f>S29-0.1</f>
        <v>#REF!</v>
      </c>
      <c r="Q29" s="17" t="e">
        <f t="shared" si="8"/>
        <v>#REF!</v>
      </c>
      <c r="R29" s="20"/>
      <c r="S29" s="21" t="e">
        <f t="shared" si="9"/>
        <v>#REF!</v>
      </c>
      <c r="T29" s="21" t="e">
        <f t="shared" si="10"/>
        <v>#REF!</v>
      </c>
      <c r="U29" s="68">
        <f>'[14]Физлица (мног. дом) Прилож №3'!P29</f>
        <v>2.2999999999999998</v>
      </c>
      <c r="V29" s="125" t="e">
        <f t="shared" si="11"/>
        <v>#REF!</v>
      </c>
      <c r="W29" s="65" t="e">
        <f>F29/'[15]Приложение № 3'!F24</f>
        <v>#REF!</v>
      </c>
      <c r="Y29" s="130"/>
      <c r="Z29" s="129"/>
    </row>
    <row r="30" spans="1:26" s="103" customFormat="1" x14ac:dyDescent="0.3">
      <c r="A30" s="100"/>
      <c r="B30" s="101" t="s">
        <v>99</v>
      </c>
      <c r="C30" s="102"/>
      <c r="D30" s="94"/>
      <c r="E30" s="94"/>
      <c r="F30" s="94"/>
      <c r="G30" s="121"/>
      <c r="H30" s="94"/>
      <c r="I30" s="94"/>
      <c r="J30" s="94"/>
      <c r="K30" s="94"/>
      <c r="L30" s="94"/>
      <c r="M30" s="94"/>
      <c r="N30" s="94"/>
      <c r="O30" s="94" t="e">
        <f t="shared" si="7"/>
        <v>#REF!</v>
      </c>
      <c r="P30" s="94" t="e">
        <f t="shared" ref="P30:U30" si="13">SUM(P16:P29)</f>
        <v>#REF!</v>
      </c>
      <c r="Q30" s="94" t="e">
        <f t="shared" si="13"/>
        <v>#REF!</v>
      </c>
      <c r="R30" s="94" t="e">
        <f t="shared" si="13"/>
        <v>#REF!</v>
      </c>
      <c r="S30" s="94" t="e">
        <f t="shared" si="13"/>
        <v>#REF!</v>
      </c>
      <c r="T30" s="94" t="e">
        <f t="shared" si="13"/>
        <v>#REF!</v>
      </c>
      <c r="U30" s="94">
        <f t="shared" si="13"/>
        <v>168.1</v>
      </c>
      <c r="V30" s="126" t="e">
        <f t="shared" si="11"/>
        <v>#REF!</v>
      </c>
      <c r="W30" s="103" t="e">
        <f>O30/'[15]Приложение № 3'!$O$25</f>
        <v>#REF!</v>
      </c>
      <c r="Y30" s="132"/>
      <c r="Z30" s="132"/>
    </row>
    <row r="31" spans="1:26" ht="15" customHeight="1" x14ac:dyDescent="0.3">
      <c r="A31" s="66" t="s">
        <v>74</v>
      </c>
      <c r="B31" s="78" t="s">
        <v>75</v>
      </c>
      <c r="C31" s="68"/>
      <c r="D31" s="15"/>
      <c r="E31" s="15"/>
      <c r="F31" s="16"/>
      <c r="G31" s="24"/>
      <c r="H31" s="30"/>
      <c r="I31" s="30"/>
      <c r="J31" s="30"/>
      <c r="K31" s="30"/>
      <c r="L31" s="30"/>
      <c r="M31" s="30"/>
      <c r="N31" s="30"/>
      <c r="O31" s="30" t="e">
        <f t="shared" si="7"/>
        <v>#REF!</v>
      </c>
      <c r="P31" s="23" t="e">
        <f>#REF!</f>
        <v>#REF!</v>
      </c>
      <c r="Q31" s="17"/>
      <c r="R31" s="20"/>
      <c r="S31" s="31"/>
      <c r="T31" s="31"/>
      <c r="U31" s="68">
        <f>'[14]Физлица (мног. дом) Прилож №3'!P31</f>
        <v>9.5</v>
      </c>
      <c r="V31" s="125" t="e">
        <f t="shared" si="11"/>
        <v>#REF!</v>
      </c>
      <c r="W31" s="65"/>
      <c r="Y31" s="129"/>
      <c r="Z31" s="129"/>
    </row>
    <row r="32" spans="1:26" ht="15" customHeight="1" x14ac:dyDescent="0.3">
      <c r="A32" s="79" t="s">
        <v>76</v>
      </c>
      <c r="B32" s="80" t="s">
        <v>77</v>
      </c>
      <c r="C32" s="81"/>
      <c r="D32" s="82"/>
      <c r="E32" s="82"/>
      <c r="F32" s="83"/>
      <c r="G32" s="122"/>
      <c r="H32" s="84"/>
      <c r="I32" s="84"/>
      <c r="J32" s="84"/>
      <c r="K32" s="84"/>
      <c r="L32" s="84"/>
      <c r="M32" s="84"/>
      <c r="N32" s="84"/>
      <c r="O32" s="84" t="e">
        <f t="shared" si="7"/>
        <v>#REF!</v>
      </c>
      <c r="P32" s="85" t="e">
        <f>#REF!</f>
        <v>#REF!</v>
      </c>
      <c r="Q32" s="86"/>
      <c r="R32" s="32"/>
      <c r="S32" s="33"/>
      <c r="T32" s="33"/>
      <c r="U32" s="68">
        <f>'[14]Физлица (мног. дом) Прилож №3'!P32</f>
        <v>2.7</v>
      </c>
      <c r="V32" s="125" t="e">
        <f t="shared" si="11"/>
        <v>#REF!</v>
      </c>
      <c r="W32" s="65"/>
      <c r="Y32" s="129"/>
      <c r="Z32" s="129"/>
    </row>
    <row r="33" spans="1:26" s="103" customFormat="1" x14ac:dyDescent="0.3">
      <c r="A33" s="104"/>
      <c r="B33" s="105" t="s">
        <v>100</v>
      </c>
      <c r="C33" s="106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 t="e">
        <f t="shared" si="7"/>
        <v>#REF!</v>
      </c>
      <c r="P33" s="95" t="e">
        <f t="shared" ref="P33:U33" si="14">SUM(P30:P32)</f>
        <v>#REF!</v>
      </c>
      <c r="Q33" s="95" t="e">
        <f t="shared" si="14"/>
        <v>#REF!</v>
      </c>
      <c r="R33" s="95" t="e">
        <f t="shared" si="14"/>
        <v>#REF!</v>
      </c>
      <c r="S33" s="95" t="e">
        <f t="shared" si="14"/>
        <v>#REF!</v>
      </c>
      <c r="T33" s="95" t="e">
        <f t="shared" si="14"/>
        <v>#REF!</v>
      </c>
      <c r="U33" s="123">
        <f t="shared" si="14"/>
        <v>180.3</v>
      </c>
      <c r="V33" s="127" t="e">
        <f t="shared" si="11"/>
        <v>#REF!</v>
      </c>
      <c r="W33" s="103" t="e">
        <f>O33/'[15]Приложение № 3'!$O$28</f>
        <v>#REF!</v>
      </c>
      <c r="Y33" s="132"/>
      <c r="Z33" s="132"/>
    </row>
    <row r="34" spans="1:26" s="41" customFormat="1" x14ac:dyDescent="0.3">
      <c r="A34" s="34"/>
      <c r="B34" s="35"/>
      <c r="C34" s="36"/>
      <c r="D34" s="34"/>
      <c r="E34" s="34"/>
      <c r="F34" s="37"/>
      <c r="G34" s="37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4"/>
      <c r="S34" s="40"/>
      <c r="T34" s="40"/>
    </row>
    <row r="35" spans="1:26" x14ac:dyDescent="0.3">
      <c r="A35" s="1037" t="s">
        <v>78</v>
      </c>
      <c r="B35" s="1037"/>
      <c r="C35" s="1037"/>
      <c r="D35" s="1037"/>
      <c r="E35" s="1037"/>
      <c r="F35" s="1037"/>
      <c r="G35" s="1037"/>
      <c r="H35" s="1037"/>
      <c r="I35" s="1037"/>
      <c r="J35" s="1037"/>
      <c r="K35" s="1037"/>
      <c r="L35" s="1037"/>
      <c r="M35" s="1037"/>
      <c r="N35" s="1037"/>
      <c r="O35" s="1037"/>
      <c r="P35" s="1037"/>
      <c r="Q35" s="42"/>
    </row>
    <row r="36" spans="1:26" x14ac:dyDescent="0.3">
      <c r="A36" s="43"/>
      <c r="B36" s="44"/>
      <c r="C36" s="45"/>
      <c r="D36" s="43"/>
      <c r="E36" s="43"/>
      <c r="F36" s="46"/>
      <c r="G36" s="46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26" x14ac:dyDescent="0.3">
      <c r="A37" s="43"/>
      <c r="B37" s="47"/>
      <c r="C37" s="45"/>
      <c r="D37" s="43"/>
      <c r="E37" s="43"/>
      <c r="F37" s="46"/>
      <c r="G37" s="46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26" x14ac:dyDescent="0.3">
      <c r="A38" s="43"/>
      <c r="C38" s="45"/>
      <c r="D38" s="43"/>
      <c r="E38" s="43"/>
      <c r="F38" s="48"/>
      <c r="G38" s="49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26" x14ac:dyDescent="0.3">
      <c r="A39" s="43"/>
      <c r="B39" s="44" t="s">
        <v>79</v>
      </c>
      <c r="C39" s="45"/>
      <c r="D39" s="43"/>
      <c r="E39" s="43"/>
      <c r="F39" s="48"/>
      <c r="G39" s="49"/>
      <c r="H39" s="42"/>
      <c r="I39" s="44"/>
      <c r="J39" s="44"/>
      <c r="K39" s="44"/>
      <c r="L39" s="44"/>
      <c r="M39" s="44"/>
      <c r="N39" s="44"/>
      <c r="O39" s="42"/>
      <c r="P39" s="44"/>
      <c r="Q39" s="44"/>
    </row>
    <row r="40" spans="1:26" s="44" customFormat="1" ht="12.75" customHeight="1" x14ac:dyDescent="0.3">
      <c r="A40" s="45"/>
      <c r="B40" s="47"/>
      <c r="F40" s="50"/>
      <c r="G40" s="50"/>
      <c r="Q40" s="51"/>
      <c r="R40" s="52"/>
      <c r="S40" s="53"/>
      <c r="T40" s="53"/>
    </row>
  </sheetData>
  <mergeCells count="27">
    <mergeCell ref="A35:P35"/>
    <mergeCell ref="P11:P14"/>
    <mergeCell ref="F11:F14"/>
    <mergeCell ref="E11:E14"/>
    <mergeCell ref="G11:G14"/>
    <mergeCell ref="K11:K14"/>
    <mergeCell ref="U11:U14"/>
    <mergeCell ref="L11:L14"/>
    <mergeCell ref="M11:M14"/>
    <mergeCell ref="N11:N14"/>
    <mergeCell ref="R11:R14"/>
    <mergeCell ref="Y11:Y14"/>
    <mergeCell ref="Z11:Z14"/>
    <mergeCell ref="V11:V14"/>
    <mergeCell ref="S11:T14"/>
    <mergeCell ref="A8:P8"/>
    <mergeCell ref="A9:P9"/>
    <mergeCell ref="A10:P10"/>
    <mergeCell ref="A11:A14"/>
    <mergeCell ref="B11:B14"/>
    <mergeCell ref="C11:C14"/>
    <mergeCell ref="Q11:Q14"/>
    <mergeCell ref="D11:D14"/>
    <mergeCell ref="O11:O14"/>
    <mergeCell ref="H11:H14"/>
    <mergeCell ref="I11:I14"/>
    <mergeCell ref="J11:J14"/>
  </mergeCells>
  <phoneticPr fontId="2" type="noConversion"/>
  <printOptions horizontalCentered="1"/>
  <pageMargins left="0.19685039370078741" right="0.19685039370078741" top="0.19685039370078741" bottom="0" header="0.51181102362204722" footer="0.51181102362204722"/>
  <pageSetup paperSize="9" scale="86" orientation="landscape" blackAndWhite="1" r:id="rId1"/>
  <headerFooter alignWithMargins="0"/>
  <colBreaks count="1" manualBreakCount="1"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7"/>
  <sheetViews>
    <sheetView showGridLines="0" showZeros="0" view="pageBreakPreview" zoomScale="75" zoomScaleNormal="100" zoomScaleSheetLayoutView="75" workbookViewId="0">
      <selection sqref="A1:XFD1048576"/>
    </sheetView>
  </sheetViews>
  <sheetFormatPr defaultColWidth="12.8984375" defaultRowHeight="17.399999999999999" x14ac:dyDescent="0.35"/>
  <cols>
    <col min="1" max="1" width="7" style="274" bestFit="1" customWidth="1"/>
    <col min="2" max="2" width="65.19921875" style="274" customWidth="1"/>
    <col min="3" max="3" width="10.5" style="274" customWidth="1"/>
    <col min="4" max="8" width="11.8984375" style="274" customWidth="1"/>
    <col min="9" max="9" width="11.8984375" style="297" customWidth="1"/>
    <col min="10" max="10" width="11.8984375" style="274" hidden="1" customWidth="1"/>
    <col min="11" max="16" width="11.8984375" style="274" customWidth="1"/>
    <col min="17" max="17" width="11.59765625" style="274" customWidth="1"/>
    <col min="18" max="26" width="11.8984375" style="274" customWidth="1"/>
    <col min="27" max="27" width="11.59765625" style="274" customWidth="1"/>
    <col min="28" max="36" width="11.8984375" style="274" customWidth="1"/>
    <col min="37" max="37" width="11.59765625" style="274" customWidth="1"/>
    <col min="38" max="46" width="11.8984375" style="274" customWidth="1"/>
    <col min="47" max="47" width="11.59765625" style="274" customWidth="1"/>
    <col min="48" max="56" width="11.8984375" style="274" customWidth="1"/>
    <col min="57" max="57" width="11.59765625" style="274" customWidth="1"/>
    <col min="58" max="65" width="11.8984375" style="274" customWidth="1"/>
    <col min="66" max="66" width="12.59765625" style="274" customWidth="1"/>
    <col min="67" max="67" width="12.5" style="274" customWidth="1"/>
    <col min="68" max="75" width="12.59765625" style="274" customWidth="1"/>
    <col min="76" max="76" width="12.5" style="274" customWidth="1"/>
    <col min="77" max="77" width="12.3984375" style="274" customWidth="1"/>
    <col min="78" max="85" width="12.5" style="274" customWidth="1"/>
    <col min="86" max="86" width="12.59765625" style="274" customWidth="1"/>
    <col min="87" max="87" width="12.5" style="274" customWidth="1"/>
    <col min="88" max="96" width="12.59765625" style="274" customWidth="1"/>
    <col min="97" max="97" width="12.5" style="274" customWidth="1"/>
    <col min="98" max="106" width="12.59765625" style="274" customWidth="1"/>
    <col min="107" max="107" width="12.5" style="274" customWidth="1"/>
    <col min="108" max="116" width="12.59765625" style="274" customWidth="1"/>
    <col min="117" max="117" width="12.5" style="274" customWidth="1"/>
    <col min="118" max="126" width="12.59765625" style="274" customWidth="1"/>
    <col min="127" max="127" width="12.5" style="274" customWidth="1"/>
    <col min="128" max="136" width="12.59765625" style="274" customWidth="1"/>
    <col min="137" max="137" width="12.5" style="274" customWidth="1"/>
    <col min="138" max="146" width="12.59765625" style="274" customWidth="1"/>
    <col min="147" max="147" width="12.5" style="274" customWidth="1"/>
    <col min="148" max="156" width="12.59765625" style="274" customWidth="1"/>
    <col min="157" max="157" width="12.5" style="274" customWidth="1"/>
    <col min="158" max="165" width="12.59765625" style="274" customWidth="1"/>
    <col min="166" max="166" width="12.8984375" style="274" customWidth="1"/>
    <col min="167" max="167" width="12.59765625" style="274" customWidth="1"/>
    <col min="168" max="175" width="12.8984375" style="274" customWidth="1"/>
    <col min="176" max="176" width="12.59765625" style="274" customWidth="1"/>
    <col min="177" max="177" width="12.5" style="274" customWidth="1"/>
    <col min="178" max="185" width="12.59765625" style="274" customWidth="1"/>
    <col min="186" max="186" width="12.8984375" style="274" customWidth="1"/>
    <col min="187" max="187" width="12.59765625" style="274" customWidth="1"/>
    <col min="188" max="196" width="12.8984375" style="274" customWidth="1"/>
    <col min="197" max="197" width="12.59765625" style="274" customWidth="1"/>
    <col min="198" max="206" width="12.8984375" style="274" customWidth="1"/>
    <col min="207" max="207" width="12.59765625" style="274" customWidth="1"/>
    <col min="208" max="216" width="12.8984375" style="274" customWidth="1"/>
    <col min="217" max="217" width="12.59765625" style="274" customWidth="1"/>
    <col min="218" max="16384" width="12.8984375" style="274"/>
  </cols>
  <sheetData>
    <row r="1" spans="1:15" s="275" customFormat="1" ht="18" x14ac:dyDescent="0.3">
      <c r="A1" s="881" t="s">
        <v>144</v>
      </c>
      <c r="B1" s="881"/>
      <c r="C1" s="881"/>
      <c r="D1" s="881"/>
      <c r="E1" s="881"/>
      <c r="F1" s="881"/>
      <c r="G1" s="881"/>
      <c r="H1" s="881"/>
      <c r="I1" s="881"/>
    </row>
    <row r="2" spans="1:15" s="276" customFormat="1" ht="43.5" customHeight="1" thickBot="1" x14ac:dyDescent="0.35">
      <c r="A2" s="882" t="s">
        <v>218</v>
      </c>
      <c r="B2" s="882"/>
      <c r="C2" s="882"/>
      <c r="D2" s="882"/>
      <c r="E2" s="882"/>
      <c r="F2" s="882"/>
      <c r="G2" s="882"/>
      <c r="H2" s="882"/>
      <c r="I2" s="882"/>
    </row>
    <row r="3" spans="1:15" s="330" customFormat="1" ht="34.5" customHeight="1" x14ac:dyDescent="0.25">
      <c r="A3" s="883" t="s">
        <v>7</v>
      </c>
      <c r="B3" s="885" t="s">
        <v>8</v>
      </c>
      <c r="C3" s="887" t="s">
        <v>9</v>
      </c>
      <c r="D3" s="890" t="s">
        <v>240</v>
      </c>
      <c r="E3" s="891"/>
      <c r="F3" s="892"/>
      <c r="G3" s="893" t="s">
        <v>242</v>
      </c>
      <c r="H3" s="891"/>
      <c r="I3" s="892"/>
      <c r="J3" s="329"/>
    </row>
    <row r="4" spans="1:15" s="330" customFormat="1" ht="13.2" x14ac:dyDescent="0.25">
      <c r="A4" s="884"/>
      <c r="B4" s="886"/>
      <c r="C4" s="888" t="s">
        <v>23</v>
      </c>
      <c r="D4" s="894" t="s">
        <v>28</v>
      </c>
      <c r="E4" s="897" t="s">
        <v>29</v>
      </c>
      <c r="F4" s="900" t="s">
        <v>30</v>
      </c>
      <c r="G4" s="903" t="s">
        <v>28</v>
      </c>
      <c r="H4" s="904" t="s">
        <v>29</v>
      </c>
      <c r="I4" s="905" t="s">
        <v>30</v>
      </c>
      <c r="J4" s="331"/>
    </row>
    <row r="5" spans="1:15" s="330" customFormat="1" ht="11.25" customHeight="1" x14ac:dyDescent="0.25">
      <c r="A5" s="884"/>
      <c r="B5" s="886"/>
      <c r="C5" s="888"/>
      <c r="D5" s="895"/>
      <c r="E5" s="898"/>
      <c r="F5" s="901"/>
      <c r="G5" s="895"/>
      <c r="H5" s="898"/>
      <c r="I5" s="906"/>
      <c r="J5" s="331"/>
    </row>
    <row r="6" spans="1:15" s="330" customFormat="1" ht="15.75" hidden="1" customHeight="1" x14ac:dyDescent="0.25">
      <c r="A6" s="884"/>
      <c r="B6" s="886"/>
      <c r="C6" s="889"/>
      <c r="D6" s="896"/>
      <c r="E6" s="899"/>
      <c r="F6" s="902"/>
      <c r="G6" s="896"/>
      <c r="H6" s="899"/>
      <c r="I6" s="907"/>
      <c r="J6" s="331"/>
    </row>
    <row r="7" spans="1:15" s="338" customFormat="1" ht="12.75" hidden="1" customHeight="1" x14ac:dyDescent="0.25">
      <c r="A7" s="332" t="s">
        <v>37</v>
      </c>
      <c r="B7" s="333">
        <v>2</v>
      </c>
      <c r="C7" s="334">
        <v>3</v>
      </c>
      <c r="D7" s="332">
        <v>4</v>
      </c>
      <c r="E7" s="335">
        <v>5</v>
      </c>
      <c r="F7" s="336">
        <v>6</v>
      </c>
      <c r="G7" s="332">
        <v>7</v>
      </c>
      <c r="H7" s="335">
        <v>8</v>
      </c>
      <c r="I7" s="336">
        <v>9</v>
      </c>
      <c r="J7" s="337"/>
    </row>
    <row r="8" spans="1:15" s="330" customFormat="1" ht="13.2" x14ac:dyDescent="0.25">
      <c r="A8" s="339"/>
      <c r="B8" s="340"/>
      <c r="C8" s="341"/>
      <c r="D8" s="342"/>
      <c r="E8" s="343"/>
      <c r="F8" s="344"/>
      <c r="G8" s="342"/>
      <c r="H8" s="343"/>
      <c r="I8" s="345"/>
      <c r="J8" s="346"/>
    </row>
    <row r="9" spans="1:15" ht="52.2" x14ac:dyDescent="0.35">
      <c r="A9" s="277" t="s">
        <v>37</v>
      </c>
      <c r="B9" s="278" t="s">
        <v>140</v>
      </c>
      <c r="C9" s="279"/>
      <c r="D9" s="280">
        <v>0</v>
      </c>
      <c r="E9" s="281">
        <v>0</v>
      </c>
      <c r="F9" s="282">
        <v>0</v>
      </c>
      <c r="G9" s="280">
        <v>0</v>
      </c>
      <c r="H9" s="281">
        <v>0</v>
      </c>
      <c r="I9" s="283"/>
      <c r="J9" s="306"/>
    </row>
    <row r="10" spans="1:15" x14ac:dyDescent="0.35">
      <c r="A10" s="277" t="s">
        <v>123</v>
      </c>
      <c r="B10" s="284" t="s">
        <v>109</v>
      </c>
      <c r="C10" s="279" t="s">
        <v>111</v>
      </c>
      <c r="D10" s="280">
        <v>0</v>
      </c>
      <c r="E10" s="281">
        <v>0</v>
      </c>
      <c r="F10" s="282">
        <v>0</v>
      </c>
      <c r="G10" s="280">
        <v>0</v>
      </c>
      <c r="H10" s="281">
        <v>0</v>
      </c>
      <c r="I10" s="283"/>
      <c r="J10" s="306"/>
    </row>
    <row r="11" spans="1:15" x14ac:dyDescent="0.35">
      <c r="A11" s="277" t="s">
        <v>124</v>
      </c>
      <c r="B11" s="286" t="s">
        <v>113</v>
      </c>
      <c r="C11" s="285" t="s">
        <v>45</v>
      </c>
      <c r="D11" s="280">
        <v>12.92</v>
      </c>
      <c r="E11" s="281">
        <v>2.3199999999999998</v>
      </c>
      <c r="F11" s="282">
        <v>15.24</v>
      </c>
      <c r="G11" s="280">
        <v>1.08</v>
      </c>
      <c r="H11" s="281">
        <v>0.19</v>
      </c>
      <c r="I11" s="283">
        <v>1.27</v>
      </c>
      <c r="J11" s="307">
        <v>0.44</v>
      </c>
      <c r="K11" s="831"/>
      <c r="L11" s="814"/>
      <c r="N11" s="813"/>
      <c r="O11" s="815"/>
    </row>
    <row r="12" spans="1:15" x14ac:dyDescent="0.35">
      <c r="A12" s="277" t="s">
        <v>125</v>
      </c>
      <c r="B12" s="286" t="s">
        <v>114</v>
      </c>
      <c r="C12" s="285" t="s">
        <v>45</v>
      </c>
      <c r="D12" s="280">
        <v>8.75</v>
      </c>
      <c r="E12" s="281">
        <v>1.57</v>
      </c>
      <c r="F12" s="282">
        <v>10.32</v>
      </c>
      <c r="G12" s="280">
        <v>0.73</v>
      </c>
      <c r="H12" s="281">
        <v>0.13</v>
      </c>
      <c r="I12" s="283">
        <v>0.86</v>
      </c>
      <c r="J12" s="307">
        <v>1.44</v>
      </c>
      <c r="K12" s="831"/>
      <c r="L12" s="814"/>
      <c r="N12" s="813"/>
      <c r="O12" s="815"/>
    </row>
    <row r="13" spans="1:15" x14ac:dyDescent="0.35">
      <c r="A13" s="277" t="s">
        <v>126</v>
      </c>
      <c r="B13" s="286" t="s">
        <v>115</v>
      </c>
      <c r="C13" s="285" t="s">
        <v>45</v>
      </c>
      <c r="D13" s="280">
        <v>6.31</v>
      </c>
      <c r="E13" s="281">
        <v>1.1299999999999999</v>
      </c>
      <c r="F13" s="282">
        <v>7.44</v>
      </c>
      <c r="G13" s="280">
        <v>0.53</v>
      </c>
      <c r="H13" s="281">
        <v>0.09</v>
      </c>
      <c r="I13" s="283">
        <v>0.62</v>
      </c>
      <c r="J13" s="307">
        <v>2.44</v>
      </c>
      <c r="K13" s="831"/>
      <c r="L13" s="814"/>
      <c r="N13" s="813"/>
      <c r="O13" s="815"/>
    </row>
    <row r="14" spans="1:15" x14ac:dyDescent="0.35">
      <c r="A14" s="277" t="s">
        <v>127</v>
      </c>
      <c r="B14" s="286" t="s">
        <v>116</v>
      </c>
      <c r="C14" s="285" t="s">
        <v>45</v>
      </c>
      <c r="D14" s="280">
        <v>8.14</v>
      </c>
      <c r="E14" s="281">
        <v>1.46</v>
      </c>
      <c r="F14" s="282">
        <v>9.6</v>
      </c>
      <c r="G14" s="280">
        <v>0.68</v>
      </c>
      <c r="H14" s="281">
        <v>0.12</v>
      </c>
      <c r="I14" s="283">
        <v>0.8</v>
      </c>
      <c r="J14" s="307">
        <v>3.44</v>
      </c>
      <c r="K14" s="831"/>
      <c r="L14" s="814"/>
      <c r="N14" s="813"/>
      <c r="O14" s="815"/>
    </row>
    <row r="15" spans="1:15" x14ac:dyDescent="0.35">
      <c r="A15" s="277" t="s">
        <v>128</v>
      </c>
      <c r="B15" s="286" t="s">
        <v>117</v>
      </c>
      <c r="C15" s="285" t="s">
        <v>45</v>
      </c>
      <c r="D15" s="280">
        <v>5.19</v>
      </c>
      <c r="E15" s="281">
        <v>0.93</v>
      </c>
      <c r="F15" s="282">
        <v>6.12</v>
      </c>
      <c r="G15" s="280">
        <v>0.43</v>
      </c>
      <c r="H15" s="281">
        <v>0.08</v>
      </c>
      <c r="I15" s="283">
        <v>0.51</v>
      </c>
      <c r="J15" s="307">
        <v>4.4400000000000004</v>
      </c>
      <c r="K15" s="831"/>
      <c r="L15" s="814"/>
      <c r="N15" s="813"/>
      <c r="O15" s="815"/>
    </row>
    <row r="16" spans="1:15" x14ac:dyDescent="0.35">
      <c r="A16" s="277" t="s">
        <v>129</v>
      </c>
      <c r="B16" s="286" t="s">
        <v>118</v>
      </c>
      <c r="C16" s="285" t="s">
        <v>45</v>
      </c>
      <c r="D16" s="280">
        <v>3.46</v>
      </c>
      <c r="E16" s="281">
        <v>0.62</v>
      </c>
      <c r="F16" s="282">
        <v>4.08</v>
      </c>
      <c r="G16" s="280">
        <v>0.28999999999999998</v>
      </c>
      <c r="H16" s="281">
        <v>0.05</v>
      </c>
      <c r="I16" s="283">
        <v>0.34</v>
      </c>
      <c r="J16" s="307">
        <v>5.44</v>
      </c>
      <c r="K16" s="831"/>
      <c r="L16" s="814"/>
      <c r="N16" s="813"/>
      <c r="O16" s="815"/>
    </row>
    <row r="17" spans="1:15" x14ac:dyDescent="0.35">
      <c r="A17" s="277" t="s">
        <v>130</v>
      </c>
      <c r="B17" s="286" t="s">
        <v>119</v>
      </c>
      <c r="C17" s="285" t="s">
        <v>45</v>
      </c>
      <c r="D17" s="280">
        <v>3.56</v>
      </c>
      <c r="E17" s="281">
        <v>0.64</v>
      </c>
      <c r="F17" s="282">
        <v>4.2</v>
      </c>
      <c r="G17" s="280">
        <v>0.3</v>
      </c>
      <c r="H17" s="281">
        <v>0.05</v>
      </c>
      <c r="I17" s="283">
        <v>0.35</v>
      </c>
      <c r="J17" s="307">
        <v>6.44</v>
      </c>
      <c r="K17" s="831"/>
      <c r="L17" s="814"/>
      <c r="N17" s="813"/>
      <c r="O17" s="815"/>
    </row>
    <row r="18" spans="1:15" x14ac:dyDescent="0.35">
      <c r="A18" s="277" t="s">
        <v>131</v>
      </c>
      <c r="B18" s="286" t="s">
        <v>120</v>
      </c>
      <c r="C18" s="285" t="s">
        <v>45</v>
      </c>
      <c r="D18" s="280">
        <v>3.05</v>
      </c>
      <c r="E18" s="281">
        <v>0.55000000000000004</v>
      </c>
      <c r="F18" s="282">
        <v>3.6</v>
      </c>
      <c r="G18" s="280">
        <v>0.25</v>
      </c>
      <c r="H18" s="281">
        <v>0.05</v>
      </c>
      <c r="I18" s="283">
        <v>0.3</v>
      </c>
      <c r="J18" s="307">
        <v>7.44</v>
      </c>
      <c r="K18" s="831"/>
      <c r="L18" s="814"/>
      <c r="N18" s="813"/>
      <c r="O18" s="815"/>
    </row>
    <row r="19" spans="1:15" x14ac:dyDescent="0.35">
      <c r="A19" s="277" t="s">
        <v>132</v>
      </c>
      <c r="B19" s="286" t="s">
        <v>121</v>
      </c>
      <c r="C19" s="285" t="s">
        <v>45</v>
      </c>
      <c r="D19" s="280">
        <v>3.25</v>
      </c>
      <c r="E19" s="281">
        <v>0.59</v>
      </c>
      <c r="F19" s="282">
        <v>3.84</v>
      </c>
      <c r="G19" s="280">
        <v>0.27</v>
      </c>
      <c r="H19" s="281">
        <v>0.05</v>
      </c>
      <c r="I19" s="283">
        <v>0.32</v>
      </c>
      <c r="J19" s="307">
        <v>8.44</v>
      </c>
      <c r="K19" s="831"/>
      <c r="L19" s="814"/>
      <c r="N19" s="813"/>
      <c r="O19" s="815"/>
    </row>
    <row r="20" spans="1:15" collapsed="1" x14ac:dyDescent="0.35">
      <c r="A20" s="277"/>
      <c r="B20" s="287"/>
      <c r="C20" s="279"/>
      <c r="D20" s="280">
        <v>0</v>
      </c>
      <c r="E20" s="281">
        <v>0</v>
      </c>
      <c r="F20" s="282">
        <v>0</v>
      </c>
      <c r="G20" s="280">
        <v>0</v>
      </c>
      <c r="H20" s="281">
        <v>0</v>
      </c>
      <c r="I20" s="283">
        <v>0</v>
      </c>
      <c r="J20" s="307">
        <v>9.44</v>
      </c>
      <c r="K20" s="831"/>
      <c r="L20" s="814"/>
      <c r="N20" s="813"/>
      <c r="O20" s="815"/>
    </row>
    <row r="21" spans="1:15" ht="34.799999999999997" x14ac:dyDescent="0.35">
      <c r="A21" s="277" t="s">
        <v>134</v>
      </c>
      <c r="B21" s="288" t="s">
        <v>110</v>
      </c>
      <c r="C21" s="289"/>
      <c r="D21" s="280">
        <v>0</v>
      </c>
      <c r="E21" s="281">
        <v>0</v>
      </c>
      <c r="F21" s="282">
        <v>0</v>
      </c>
      <c r="G21" s="280">
        <v>0</v>
      </c>
      <c r="H21" s="281">
        <v>0</v>
      </c>
      <c r="I21" s="283">
        <v>0</v>
      </c>
      <c r="J21" s="307">
        <v>10.44</v>
      </c>
      <c r="K21" s="831"/>
      <c r="L21" s="814"/>
      <c r="N21" s="813"/>
      <c r="O21" s="815"/>
    </row>
    <row r="22" spans="1:15" x14ac:dyDescent="0.35">
      <c r="A22" s="277" t="s">
        <v>135</v>
      </c>
      <c r="B22" s="286" t="s">
        <v>113</v>
      </c>
      <c r="C22" s="285" t="s">
        <v>45</v>
      </c>
      <c r="D22" s="280">
        <v>7.32</v>
      </c>
      <c r="E22" s="281">
        <v>1.32</v>
      </c>
      <c r="F22" s="282">
        <v>8.64</v>
      </c>
      <c r="G22" s="280">
        <v>0.61</v>
      </c>
      <c r="H22" s="281">
        <v>0.11</v>
      </c>
      <c r="I22" s="283">
        <v>0.72</v>
      </c>
      <c r="J22" s="307">
        <v>11.44</v>
      </c>
      <c r="K22" s="831"/>
      <c r="L22" s="814"/>
      <c r="N22" s="813"/>
      <c r="O22" s="815"/>
    </row>
    <row r="23" spans="1:15" x14ac:dyDescent="0.35">
      <c r="A23" s="277" t="s">
        <v>136</v>
      </c>
      <c r="B23" s="286" t="s">
        <v>114</v>
      </c>
      <c r="C23" s="285" t="s">
        <v>45</v>
      </c>
      <c r="D23" s="280">
        <v>4.78</v>
      </c>
      <c r="E23" s="281">
        <v>0.86</v>
      </c>
      <c r="F23" s="282">
        <v>5.64</v>
      </c>
      <c r="G23" s="280">
        <v>0.4</v>
      </c>
      <c r="H23" s="281">
        <v>7.0000000000000007E-2</v>
      </c>
      <c r="I23" s="283">
        <v>0.47</v>
      </c>
      <c r="J23" s="307">
        <v>12.44</v>
      </c>
      <c r="K23" s="831"/>
      <c r="L23" s="814"/>
      <c r="N23" s="813"/>
      <c r="O23" s="815"/>
    </row>
    <row r="24" spans="1:15" ht="15.75" customHeight="1" x14ac:dyDescent="0.35">
      <c r="A24" s="277" t="s">
        <v>137</v>
      </c>
      <c r="B24" s="286" t="s">
        <v>115</v>
      </c>
      <c r="C24" s="285" t="s">
        <v>45</v>
      </c>
      <c r="D24" s="280">
        <v>6.61</v>
      </c>
      <c r="E24" s="281">
        <v>1.19</v>
      </c>
      <c r="F24" s="282">
        <v>7.8</v>
      </c>
      <c r="G24" s="280">
        <v>0.55000000000000004</v>
      </c>
      <c r="H24" s="281">
        <v>0.1</v>
      </c>
      <c r="I24" s="283">
        <v>0.65</v>
      </c>
      <c r="J24" s="307">
        <v>13.44</v>
      </c>
      <c r="K24" s="831"/>
      <c r="L24" s="814"/>
      <c r="N24" s="813"/>
      <c r="O24" s="815"/>
    </row>
    <row r="25" spans="1:15" ht="18" thickBot="1" x14ac:dyDescent="0.4">
      <c r="A25" s="290" t="s">
        <v>138</v>
      </c>
      <c r="B25" s="291" t="s">
        <v>116</v>
      </c>
      <c r="C25" s="292" t="s">
        <v>45</v>
      </c>
      <c r="D25" s="293">
        <v>6.2</v>
      </c>
      <c r="E25" s="294">
        <v>1.1200000000000001</v>
      </c>
      <c r="F25" s="295">
        <v>7.32</v>
      </c>
      <c r="G25" s="293">
        <v>0.52</v>
      </c>
      <c r="H25" s="294">
        <v>0.09</v>
      </c>
      <c r="I25" s="296">
        <v>0.61</v>
      </c>
      <c r="J25" s="307">
        <v>14.44</v>
      </c>
      <c r="K25" s="831"/>
      <c r="L25" s="814"/>
      <c r="N25" s="813"/>
      <c r="O25" s="815"/>
    </row>
    <row r="27" spans="1:15" ht="40.5" customHeight="1" x14ac:dyDescent="0.35">
      <c r="A27" s="880" t="s">
        <v>1476</v>
      </c>
      <c r="B27" s="880"/>
      <c r="C27" s="880"/>
      <c r="D27" s="880"/>
      <c r="E27" s="880"/>
      <c r="F27" s="880"/>
      <c r="G27" s="880"/>
      <c r="H27" s="880"/>
      <c r="I27" s="880"/>
    </row>
  </sheetData>
  <sheetProtection selectLockedCells="1" selectUnlockedCells="1"/>
  <mergeCells count="14">
    <mergeCell ref="A27:I27"/>
    <mergeCell ref="A1:I1"/>
    <mergeCell ref="A2:I2"/>
    <mergeCell ref="A3:A6"/>
    <mergeCell ref="B3:B6"/>
    <mergeCell ref="C3:C6"/>
    <mergeCell ref="D3:F3"/>
    <mergeCell ref="G3:I3"/>
    <mergeCell ref="D4:D6"/>
    <mergeCell ref="E4:E6"/>
    <mergeCell ref="F4:F6"/>
    <mergeCell ref="G4:G6"/>
    <mergeCell ref="H4:H6"/>
    <mergeCell ref="I4:I6"/>
  </mergeCells>
  <printOptions horizontalCentered="1"/>
  <pageMargins left="0" right="0" top="0.19685039370078741" bottom="0.19685039370078741" header="0.51181102362204722" footer="0.51181102362204722"/>
  <pageSetup paperSize="9" scale="88" orientation="landscape" blackAndWhite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H18"/>
  <sheetViews>
    <sheetView view="pageBreakPreview" zoomScale="60" zoomScaleNormal="82" workbookViewId="0">
      <selection activeCell="F12" sqref="F12"/>
    </sheetView>
  </sheetViews>
  <sheetFormatPr defaultColWidth="8" defaultRowHeight="15.75" customHeight="1" outlineLevelCol="1" x14ac:dyDescent="0.35"/>
  <cols>
    <col min="1" max="1" width="7.19921875" style="348" customWidth="1"/>
    <col min="2" max="2" width="26.09765625" style="349" customWidth="1"/>
    <col min="3" max="4" width="9.69921875" style="350" customWidth="1"/>
    <col min="5" max="5" width="36.59765625" style="348" customWidth="1"/>
    <col min="6" max="7" width="13.09765625" style="351" customWidth="1"/>
    <col min="8" max="8" width="12.8984375" style="350" customWidth="1" outlineLevel="1"/>
    <col min="9" max="9" width="17.19921875" style="348" customWidth="1"/>
    <col min="10" max="10" width="26.69921875" style="348" customWidth="1"/>
    <col min="11" max="16384" width="8" style="348"/>
  </cols>
  <sheetData>
    <row r="1" spans="1:8" ht="16.5" customHeight="1" x14ac:dyDescent="0.35">
      <c r="C1" s="348"/>
      <c r="H1" s="348"/>
    </row>
    <row r="2" spans="1:8" ht="16.5" customHeight="1" x14ac:dyDescent="0.35">
      <c r="C2" s="348"/>
      <c r="H2" s="348"/>
    </row>
    <row r="3" spans="1:8" ht="16.5" customHeight="1" x14ac:dyDescent="0.35">
      <c r="C3" s="348"/>
      <c r="H3" s="348"/>
    </row>
    <row r="4" spans="1:8" ht="15.75" customHeight="1" x14ac:dyDescent="0.35">
      <c r="A4" s="914" t="s">
        <v>260</v>
      </c>
      <c r="B4" s="914"/>
      <c r="C4" s="914"/>
      <c r="D4" s="914"/>
      <c r="E4" s="914"/>
      <c r="F4" s="914"/>
      <c r="G4" s="914"/>
      <c r="H4" s="353"/>
    </row>
    <row r="5" spans="1:8" s="355" customFormat="1" ht="15.75" customHeight="1" x14ac:dyDescent="0.35">
      <c r="A5" s="348"/>
      <c r="B5" s="349"/>
      <c r="C5" s="350"/>
      <c r="D5" s="350"/>
      <c r="E5" s="348"/>
      <c r="F5" s="351"/>
      <c r="G5" s="351"/>
      <c r="H5" s="350"/>
    </row>
    <row r="6" spans="1:8" s="358" customFormat="1" ht="31.5" customHeight="1" x14ac:dyDescent="0.3">
      <c r="A6" s="915" t="s">
        <v>7</v>
      </c>
      <c r="B6" s="916" t="s">
        <v>243</v>
      </c>
      <c r="C6" s="356" t="s">
        <v>244</v>
      </c>
      <c r="D6" s="356" t="s">
        <v>245</v>
      </c>
      <c r="E6" s="915" t="s">
        <v>246</v>
      </c>
      <c r="F6" s="917" t="s">
        <v>247</v>
      </c>
      <c r="G6" s="917"/>
      <c r="H6" s="372" t="s">
        <v>248</v>
      </c>
    </row>
    <row r="7" spans="1:8" s="358" customFormat="1" ht="42" customHeight="1" x14ac:dyDescent="0.3">
      <c r="A7" s="915"/>
      <c r="B7" s="916"/>
      <c r="C7" s="356" t="s">
        <v>249</v>
      </c>
      <c r="D7" s="356" t="s">
        <v>250</v>
      </c>
      <c r="E7" s="915"/>
      <c r="F7" s="357" t="s">
        <v>251</v>
      </c>
      <c r="G7" s="357" t="s">
        <v>266</v>
      </c>
      <c r="H7" s="372" t="s">
        <v>252</v>
      </c>
    </row>
    <row r="8" spans="1:8" ht="36" customHeight="1" x14ac:dyDescent="0.35">
      <c r="A8" s="363"/>
      <c r="B8" s="364" t="s">
        <v>253</v>
      </c>
      <c r="C8" s="365"/>
      <c r="D8" s="365"/>
      <c r="E8" s="365"/>
      <c r="F8" s="365"/>
      <c r="G8" s="365"/>
      <c r="H8" s="373"/>
    </row>
    <row r="9" spans="1:8" ht="36" customHeight="1" x14ac:dyDescent="0.35">
      <c r="A9" s="366"/>
      <c r="B9" s="908" t="s">
        <v>254</v>
      </c>
      <c r="C9" s="909"/>
      <c r="D9" s="909"/>
      <c r="E9" s="909"/>
      <c r="F9" s="365"/>
      <c r="G9" s="365"/>
      <c r="H9" s="374"/>
    </row>
    <row r="10" spans="1:8" ht="36" customHeight="1" x14ac:dyDescent="0.35">
      <c r="A10" s="366"/>
      <c r="B10" s="908" t="s">
        <v>256</v>
      </c>
      <c r="C10" s="909"/>
      <c r="D10" s="909"/>
      <c r="E10" s="909"/>
      <c r="F10" s="367"/>
      <c r="G10" s="367"/>
      <c r="H10" s="359"/>
    </row>
    <row r="11" spans="1:8" s="362" customFormat="1" ht="36" customHeight="1" x14ac:dyDescent="0.35">
      <c r="A11" s="368">
        <v>1</v>
      </c>
      <c r="B11" s="366" t="s">
        <v>264</v>
      </c>
      <c r="C11" s="368">
        <v>1</v>
      </c>
      <c r="D11" s="368">
        <v>4</v>
      </c>
      <c r="E11" s="369" t="s">
        <v>255</v>
      </c>
      <c r="F11" s="361">
        <v>8100</v>
      </c>
      <c r="G11" s="361">
        <v>9000</v>
      </c>
      <c r="H11" s="359">
        <v>9000</v>
      </c>
    </row>
    <row r="12" spans="1:8" s="360" customFormat="1" ht="36" customHeight="1" x14ac:dyDescent="0.35">
      <c r="A12" s="368">
        <v>2</v>
      </c>
      <c r="B12" s="912" t="s">
        <v>267</v>
      </c>
      <c r="C12" s="913"/>
      <c r="D12" s="913"/>
      <c r="E12" s="913"/>
      <c r="F12" s="370">
        <f>F11*1.5/165</f>
        <v>73.64</v>
      </c>
      <c r="G12" s="370">
        <f>G11*1.5/165</f>
        <v>81.819999999999993</v>
      </c>
      <c r="H12" s="368"/>
    </row>
    <row r="13" spans="1:8" s="360" customFormat="1" ht="36" customHeight="1" x14ac:dyDescent="0.35">
      <c r="A13" s="368">
        <v>3</v>
      </c>
      <c r="B13" s="912" t="s">
        <v>258</v>
      </c>
      <c r="C13" s="913"/>
      <c r="D13" s="913"/>
      <c r="E13" s="913"/>
      <c r="F13" s="370">
        <v>42.7</v>
      </c>
      <c r="G13" s="370">
        <v>42.7</v>
      </c>
      <c r="H13" s="368"/>
    </row>
    <row r="14" spans="1:8" ht="39" customHeight="1" x14ac:dyDescent="0.35">
      <c r="A14" s="352">
        <v>4</v>
      </c>
      <c r="B14" s="910" t="s">
        <v>259</v>
      </c>
      <c r="C14" s="911"/>
      <c r="D14" s="911"/>
      <c r="E14" s="911"/>
      <c r="F14" s="371">
        <f>F12/F13</f>
        <v>1.72</v>
      </c>
      <c r="G14" s="371">
        <f>G12/G13</f>
        <v>1.92</v>
      </c>
      <c r="H14" s="352"/>
    </row>
    <row r="15" spans="1:8" ht="39" customHeight="1" x14ac:dyDescent="0.35">
      <c r="A15" s="352">
        <v>5</v>
      </c>
      <c r="B15" s="912" t="s">
        <v>261</v>
      </c>
      <c r="C15" s="913"/>
      <c r="D15" s="913"/>
      <c r="E15" s="913"/>
      <c r="F15" s="370">
        <f>F13*1.1</f>
        <v>46.97</v>
      </c>
      <c r="G15" s="370">
        <f>F15</f>
        <v>46.97</v>
      </c>
      <c r="H15" s="352"/>
    </row>
    <row r="16" spans="1:8" s="354" customFormat="1" ht="39" customHeight="1" x14ac:dyDescent="0.3">
      <c r="A16" s="375">
        <v>6</v>
      </c>
      <c r="B16" s="908" t="s">
        <v>262</v>
      </c>
      <c r="C16" s="909"/>
      <c r="D16" s="909"/>
      <c r="E16" s="909"/>
      <c r="F16" s="370">
        <f>F15/F13</f>
        <v>1.1000000000000001</v>
      </c>
      <c r="G16" s="370">
        <f>G15/G13</f>
        <v>1.1000000000000001</v>
      </c>
      <c r="H16" s="375"/>
    </row>
    <row r="17" spans="1:8" ht="39" customHeight="1" x14ac:dyDescent="0.35">
      <c r="A17" s="352">
        <v>7</v>
      </c>
      <c r="B17" s="910" t="s">
        <v>263</v>
      </c>
      <c r="C17" s="911"/>
      <c r="D17" s="911"/>
      <c r="E17" s="911"/>
      <c r="F17" s="371">
        <f>F15/F12</f>
        <v>0.64</v>
      </c>
      <c r="G17" s="371">
        <f>G15/G12</f>
        <v>0.56999999999999995</v>
      </c>
      <c r="H17" s="352"/>
    </row>
    <row r="18" spans="1:8" ht="39" customHeight="1" x14ac:dyDescent="0.35">
      <c r="A18" s="352">
        <v>8</v>
      </c>
      <c r="B18" s="910" t="s">
        <v>265</v>
      </c>
      <c r="C18" s="911"/>
      <c r="D18" s="911"/>
      <c r="E18" s="911"/>
      <c r="F18" s="371">
        <f>F13/F12</f>
        <v>0.57999999999999996</v>
      </c>
      <c r="G18" s="371">
        <f>G13/G12</f>
        <v>0.52</v>
      </c>
    </row>
  </sheetData>
  <mergeCells count="14">
    <mergeCell ref="A4:G4"/>
    <mergeCell ref="A6:A7"/>
    <mergeCell ref="B6:B7"/>
    <mergeCell ref="E6:E7"/>
    <mergeCell ref="F6:G6"/>
    <mergeCell ref="B16:E16"/>
    <mergeCell ref="B17:E17"/>
    <mergeCell ref="B18:E18"/>
    <mergeCell ref="B9:E9"/>
    <mergeCell ref="B10:E10"/>
    <mergeCell ref="B12:E12"/>
    <mergeCell ref="B13:E13"/>
    <mergeCell ref="B14:E14"/>
    <mergeCell ref="B15:E15"/>
  </mergeCells>
  <printOptions horizontalCentered="1"/>
  <pageMargins left="0.7" right="0.7" top="0.75" bottom="0.75" header="0.3" footer="0.3"/>
  <pageSetup paperSize="9" scale="71" fitToHeight="1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B13" zoomScale="75" zoomScaleNormal="100" workbookViewId="0">
      <selection activeCell="J29" sqref="J29"/>
    </sheetView>
  </sheetViews>
  <sheetFormatPr defaultColWidth="12.8984375" defaultRowHeight="17.399999999999999" outlineLevelCol="1" x14ac:dyDescent="0.35"/>
  <cols>
    <col min="1" max="1" width="7" style="6" bestFit="1" customWidth="1"/>
    <col min="2" max="2" width="65.19921875" style="6" customWidth="1"/>
    <col min="3" max="3" width="10.5" style="6" customWidth="1"/>
    <col min="4" max="4" width="10.5" style="6" customWidth="1" outlineLevel="1"/>
    <col min="5" max="9" width="11.8984375" style="6" customWidth="1"/>
    <col min="10" max="10" width="11.8984375" style="162" customWidth="1"/>
    <col min="11" max="11" width="11.8984375" style="6" hidden="1" customWidth="1"/>
    <col min="12" max="17" width="11.8984375" style="6" customWidth="1"/>
    <col min="18" max="18" width="11.59765625" style="6" customWidth="1"/>
    <col min="19" max="27" width="11.8984375" style="6" customWidth="1"/>
    <col min="28" max="28" width="11.59765625" style="6" customWidth="1"/>
    <col min="29" max="37" width="11.8984375" style="6" customWidth="1"/>
    <col min="38" max="38" width="11.59765625" style="6" customWidth="1"/>
    <col min="39" max="47" width="11.8984375" style="6" customWidth="1"/>
    <col min="48" max="48" width="11.59765625" style="6" customWidth="1"/>
    <col min="49" max="57" width="11.8984375" style="6" customWidth="1"/>
    <col min="58" max="58" width="11.59765625" style="6" customWidth="1"/>
    <col min="59" max="67" width="11.8984375" style="6" customWidth="1"/>
    <col min="68" max="68" width="11.59765625" style="6" customWidth="1"/>
    <col min="69" max="76" width="11.8984375" style="6" customWidth="1"/>
    <col min="77" max="77" width="12.59765625" style="6" customWidth="1"/>
    <col min="78" max="78" width="12.5" style="6" customWidth="1"/>
    <col min="79" max="86" width="12.59765625" style="6" customWidth="1"/>
    <col min="87" max="87" width="12.5" style="6" customWidth="1"/>
    <col min="88" max="88" width="12.3984375" style="6" customWidth="1"/>
    <col min="89" max="96" width="12.5" style="6" customWidth="1"/>
    <col min="97" max="97" width="12.59765625" style="6" customWidth="1"/>
    <col min="98" max="98" width="12.5" style="6" customWidth="1"/>
    <col min="99" max="107" width="12.59765625" style="6" customWidth="1"/>
    <col min="108" max="108" width="12.5" style="6" customWidth="1"/>
    <col min="109" max="117" width="12.59765625" style="6" customWidth="1"/>
    <col min="118" max="118" width="12.5" style="6" customWidth="1"/>
    <col min="119" max="127" width="12.59765625" style="6" customWidth="1"/>
    <col min="128" max="128" width="12.5" style="6" customWidth="1"/>
    <col min="129" max="137" width="12.59765625" style="6" customWidth="1"/>
    <col min="138" max="138" width="12.5" style="6" customWidth="1"/>
    <col min="139" max="147" width="12.59765625" style="6" customWidth="1"/>
    <col min="148" max="148" width="12.5" style="6" customWidth="1"/>
    <col min="149" max="157" width="12.59765625" style="6" customWidth="1"/>
    <col min="158" max="158" width="12.5" style="6" customWidth="1"/>
    <col min="159" max="167" width="12.59765625" style="6" customWidth="1"/>
    <col min="168" max="168" width="12.5" style="6" customWidth="1"/>
    <col min="169" max="176" width="12.59765625" style="6" customWidth="1"/>
    <col min="177" max="177" width="12.8984375" style="6" customWidth="1"/>
    <col min="178" max="178" width="12.59765625" style="6" customWidth="1"/>
    <col min="179" max="186" width="12.8984375" style="6" customWidth="1"/>
    <col min="187" max="187" width="12.59765625" style="6" customWidth="1"/>
    <col min="188" max="188" width="12.5" style="6" customWidth="1"/>
    <col min="189" max="196" width="12.59765625" style="6" customWidth="1"/>
    <col min="197" max="197" width="12.8984375" style="6" customWidth="1"/>
    <col min="198" max="198" width="12.59765625" style="6" customWidth="1"/>
    <col min="199" max="207" width="12.8984375" style="6" customWidth="1"/>
    <col min="208" max="208" width="12.59765625" style="6" customWidth="1"/>
    <col min="209" max="217" width="12.8984375" style="6" customWidth="1"/>
    <col min="218" max="218" width="12.59765625" style="6" customWidth="1"/>
    <col min="219" max="227" width="12.8984375" style="6" customWidth="1"/>
    <col min="228" max="228" width="12.59765625" style="6" customWidth="1"/>
    <col min="229" max="16384" width="12.8984375" style="6"/>
  </cols>
  <sheetData>
    <row r="1" spans="1:13" x14ac:dyDescent="0.35">
      <c r="J1" s="155" t="s">
        <v>143</v>
      </c>
    </row>
    <row r="3" spans="1:13" ht="18" x14ac:dyDescent="0.35">
      <c r="J3" s="156" t="s">
        <v>1</v>
      </c>
    </row>
    <row r="4" spans="1:13" ht="18" x14ac:dyDescent="0.35">
      <c r="J4" s="157" t="s">
        <v>2</v>
      </c>
    </row>
    <row r="5" spans="1:13" ht="18" x14ac:dyDescent="0.35">
      <c r="J5" s="158"/>
    </row>
    <row r="6" spans="1:13" ht="18" x14ac:dyDescent="0.35">
      <c r="J6" s="157" t="s">
        <v>3</v>
      </c>
    </row>
    <row r="7" spans="1:13" ht="18" x14ac:dyDescent="0.35">
      <c r="J7" s="157"/>
    </row>
    <row r="9" spans="1:13" s="87" customFormat="1" ht="18" x14ac:dyDescent="0.3">
      <c r="A9" s="924" t="s">
        <v>144</v>
      </c>
      <c r="B9" s="924"/>
      <c r="C9" s="924"/>
      <c r="D9" s="924"/>
      <c r="E9" s="924"/>
      <c r="F9" s="924"/>
      <c r="G9" s="924"/>
      <c r="H9" s="924"/>
      <c r="I9" s="924"/>
      <c r="J9" s="924"/>
    </row>
    <row r="10" spans="1:13" s="88" customFormat="1" ht="34.5" customHeight="1" thickBot="1" x14ac:dyDescent="0.35">
      <c r="A10" s="925" t="s">
        <v>145</v>
      </c>
      <c r="B10" s="925"/>
      <c r="C10" s="925"/>
      <c r="D10" s="925"/>
      <c r="E10" s="925"/>
      <c r="F10" s="925"/>
      <c r="G10" s="925"/>
      <c r="H10" s="925"/>
      <c r="I10" s="925"/>
      <c r="J10" s="925"/>
    </row>
    <row r="11" spans="1:13" s="2" customFormat="1" ht="34.5" customHeight="1" x14ac:dyDescent="0.3">
      <c r="A11" s="936" t="s">
        <v>7</v>
      </c>
      <c r="B11" s="938" t="s">
        <v>8</v>
      </c>
      <c r="C11" s="943" t="s">
        <v>9</v>
      </c>
      <c r="D11" s="943"/>
      <c r="E11" s="926" t="s">
        <v>141</v>
      </c>
      <c r="F11" s="927"/>
      <c r="G11" s="928"/>
      <c r="H11" s="929" t="s">
        <v>142</v>
      </c>
      <c r="I11" s="927"/>
      <c r="J11" s="928"/>
      <c r="L11" s="918" t="s">
        <v>198</v>
      </c>
      <c r="M11" s="921" t="s">
        <v>199</v>
      </c>
    </row>
    <row r="12" spans="1:13" s="2" customFormat="1" ht="15.6" x14ac:dyDescent="0.3">
      <c r="A12" s="937"/>
      <c r="B12" s="939"/>
      <c r="C12" s="944" t="s">
        <v>23</v>
      </c>
      <c r="D12" s="944"/>
      <c r="E12" s="946" t="s">
        <v>28</v>
      </c>
      <c r="F12" s="947" t="s">
        <v>29</v>
      </c>
      <c r="G12" s="948" t="s">
        <v>30</v>
      </c>
      <c r="H12" s="940" t="s">
        <v>28</v>
      </c>
      <c r="I12" s="930" t="s">
        <v>29</v>
      </c>
      <c r="J12" s="933" t="s">
        <v>30</v>
      </c>
      <c r="L12" s="919"/>
      <c r="M12" s="922"/>
    </row>
    <row r="13" spans="1:13" s="2" customFormat="1" ht="11.25" customHeight="1" x14ac:dyDescent="0.3">
      <c r="A13" s="937"/>
      <c r="B13" s="939"/>
      <c r="C13" s="944"/>
      <c r="D13" s="944"/>
      <c r="E13" s="941"/>
      <c r="F13" s="931"/>
      <c r="G13" s="949"/>
      <c r="H13" s="941"/>
      <c r="I13" s="931"/>
      <c r="J13" s="934"/>
      <c r="L13" s="920"/>
      <c r="M13" s="923"/>
    </row>
    <row r="14" spans="1:13" s="2" customFormat="1" ht="15.6" hidden="1" x14ac:dyDescent="0.3">
      <c r="A14" s="937"/>
      <c r="B14" s="939"/>
      <c r="C14" s="945"/>
      <c r="D14" s="945"/>
      <c r="E14" s="942"/>
      <c r="F14" s="932"/>
      <c r="G14" s="950"/>
      <c r="H14" s="942"/>
      <c r="I14" s="932"/>
      <c r="J14" s="935"/>
      <c r="L14" s="163"/>
      <c r="M14" s="163"/>
    </row>
    <row r="15" spans="1:13" s="90" customFormat="1" x14ac:dyDescent="0.35">
      <c r="A15" s="110" t="s">
        <v>37</v>
      </c>
      <c r="B15" s="133">
        <v>2</v>
      </c>
      <c r="C15" s="134">
        <v>3</v>
      </c>
      <c r="D15" s="135"/>
      <c r="E15" s="110">
        <v>4</v>
      </c>
      <c r="F15" s="89">
        <v>5</v>
      </c>
      <c r="G15" s="111">
        <v>6</v>
      </c>
      <c r="H15" s="110">
        <v>7</v>
      </c>
      <c r="I15" s="89">
        <v>8</v>
      </c>
      <c r="J15" s="111">
        <v>9</v>
      </c>
      <c r="L15" s="164"/>
      <c r="M15" s="164"/>
    </row>
    <row r="16" spans="1:13" x14ac:dyDescent="0.35">
      <c r="A16" s="136"/>
      <c r="B16" s="137"/>
      <c r="C16" s="138"/>
      <c r="D16" s="139"/>
      <c r="E16" s="107"/>
      <c r="F16" s="108"/>
      <c r="G16" s="109"/>
      <c r="H16" s="107"/>
      <c r="I16" s="108"/>
      <c r="J16" s="159"/>
      <c r="L16" s="93"/>
      <c r="M16" s="93"/>
    </row>
    <row r="17" spans="1:14" ht="52.2" x14ac:dyDescent="0.35">
      <c r="A17" s="113" t="s">
        <v>37</v>
      </c>
      <c r="B17" s="140" t="s">
        <v>140</v>
      </c>
      <c r="C17" s="112"/>
      <c r="D17" s="141"/>
      <c r="E17" s="116">
        <v>0</v>
      </c>
      <c r="F17" s="91">
        <v>0</v>
      </c>
      <c r="G17" s="115">
        <v>0</v>
      </c>
      <c r="H17" s="116">
        <v>0</v>
      </c>
      <c r="I17" s="91">
        <v>0</v>
      </c>
      <c r="J17" s="160"/>
      <c r="L17" s="93"/>
      <c r="M17" s="93"/>
    </row>
    <row r="18" spans="1:14" x14ac:dyDescent="0.35">
      <c r="A18" s="113" t="s">
        <v>123</v>
      </c>
      <c r="B18" s="165" t="s">
        <v>109</v>
      </c>
      <c r="C18" s="112" t="s">
        <v>111</v>
      </c>
      <c r="D18" s="141"/>
      <c r="E18" s="116">
        <v>0</v>
      </c>
      <c r="F18" s="91">
        <v>0</v>
      </c>
      <c r="G18" s="115">
        <v>0</v>
      </c>
      <c r="H18" s="116">
        <v>0</v>
      </c>
      <c r="I18" s="91">
        <v>0</v>
      </c>
      <c r="J18" s="160"/>
      <c r="L18" s="93"/>
      <c r="M18" s="93"/>
    </row>
    <row r="19" spans="1:14" x14ac:dyDescent="0.35">
      <c r="A19" s="113" t="s">
        <v>124</v>
      </c>
      <c r="B19" s="142" t="s">
        <v>112</v>
      </c>
      <c r="C19" s="143" t="s">
        <v>45</v>
      </c>
      <c r="D19" s="144">
        <v>50</v>
      </c>
      <c r="E19" s="116" t="e">
        <f t="shared" ref="E19:E35" si="0">G19-F19</f>
        <v>#REF!</v>
      </c>
      <c r="F19" s="91" t="e">
        <f t="shared" ref="F19:F35" si="1">G19/1.18*0.18</f>
        <v>#REF!</v>
      </c>
      <c r="G19" s="115" t="e">
        <f t="shared" ref="G19:G35" si="2">J19*12</f>
        <v>#REF!</v>
      </c>
      <c r="H19" s="116" t="e">
        <f t="shared" ref="H19:H35" si="3">J19-I19</f>
        <v>#REF!</v>
      </c>
      <c r="I19" s="91" t="e">
        <f t="shared" ref="I19:I35" si="4">J19/1.18*0.18</f>
        <v>#REF!</v>
      </c>
      <c r="J19" s="160" t="e">
        <f>'1 этаж (2011)'!F29</f>
        <v>#REF!</v>
      </c>
      <c r="K19" s="166">
        <v>0.26</v>
      </c>
      <c r="L19" s="167">
        <f>'[7]Прил 3.1'!J19</f>
        <v>0.31</v>
      </c>
      <c r="M19" s="99" t="e">
        <f t="shared" ref="M19:M28" si="5">J19/L19</f>
        <v>#REF!</v>
      </c>
      <c r="N19" s="92"/>
    </row>
    <row r="20" spans="1:14" x14ac:dyDescent="0.35">
      <c r="A20" s="113" t="s">
        <v>125</v>
      </c>
      <c r="B20" s="142" t="s">
        <v>113</v>
      </c>
      <c r="C20" s="143" t="s">
        <v>45</v>
      </c>
      <c r="D20" s="144">
        <v>51</v>
      </c>
      <c r="E20" s="116" t="e">
        <f t="shared" si="0"/>
        <v>#REF!</v>
      </c>
      <c r="F20" s="91" t="e">
        <f t="shared" si="1"/>
        <v>#REF!</v>
      </c>
      <c r="G20" s="115" t="e">
        <f t="shared" si="2"/>
        <v>#REF!</v>
      </c>
      <c r="H20" s="116" t="e">
        <f t="shared" si="3"/>
        <v>#REF!</v>
      </c>
      <c r="I20" s="91" t="e">
        <f t="shared" si="4"/>
        <v>#REF!</v>
      </c>
      <c r="J20" s="160" t="e">
        <f>'2 этажа (2011)'!F29</f>
        <v>#REF!</v>
      </c>
      <c r="K20" s="166">
        <v>0.44</v>
      </c>
      <c r="L20" s="167">
        <f>'[7]Прил 3.1'!J20</f>
        <v>0.56000000000000005</v>
      </c>
      <c r="M20" s="99" t="e">
        <f t="shared" si="5"/>
        <v>#REF!</v>
      </c>
    </row>
    <row r="21" spans="1:14" x14ac:dyDescent="0.35">
      <c r="A21" s="113" t="s">
        <v>126</v>
      </c>
      <c r="B21" s="142" t="s">
        <v>114</v>
      </c>
      <c r="C21" s="143" t="s">
        <v>45</v>
      </c>
      <c r="D21" s="144">
        <v>55</v>
      </c>
      <c r="E21" s="116" t="e">
        <f t="shared" si="0"/>
        <v>#REF!</v>
      </c>
      <c r="F21" s="91" t="e">
        <f t="shared" si="1"/>
        <v>#REF!</v>
      </c>
      <c r="G21" s="115" t="e">
        <f t="shared" si="2"/>
        <v>#REF!</v>
      </c>
      <c r="H21" s="116" t="e">
        <f t="shared" si="3"/>
        <v>#REF!</v>
      </c>
      <c r="I21" s="91" t="e">
        <f t="shared" si="4"/>
        <v>#REF!</v>
      </c>
      <c r="J21" s="160" t="e">
        <f>'3 этажа (2011)'!F29</f>
        <v>#REF!</v>
      </c>
      <c r="K21" s="166">
        <v>0.38</v>
      </c>
      <c r="L21" s="167">
        <f>'[7]Прил 3.1'!J21</f>
        <v>0.53</v>
      </c>
      <c r="M21" s="99" t="e">
        <f t="shared" si="5"/>
        <v>#REF!</v>
      </c>
    </row>
    <row r="22" spans="1:14" x14ac:dyDescent="0.35">
      <c r="A22" s="113" t="s">
        <v>127</v>
      </c>
      <c r="B22" s="142" t="s">
        <v>115</v>
      </c>
      <c r="C22" s="143" t="s">
        <v>45</v>
      </c>
      <c r="D22" s="144">
        <v>56</v>
      </c>
      <c r="E22" s="116" t="e">
        <f t="shared" si="0"/>
        <v>#REF!</v>
      </c>
      <c r="F22" s="91" t="e">
        <f t="shared" si="1"/>
        <v>#REF!</v>
      </c>
      <c r="G22" s="115" t="e">
        <f t="shared" si="2"/>
        <v>#REF!</v>
      </c>
      <c r="H22" s="116" t="e">
        <f t="shared" si="3"/>
        <v>#REF!</v>
      </c>
      <c r="I22" s="91" t="e">
        <f t="shared" si="4"/>
        <v>#REF!</v>
      </c>
      <c r="J22" s="160" t="e">
        <f>'4 этажа (2011)'!F29</f>
        <v>#REF!</v>
      </c>
      <c r="K22" s="166">
        <v>0.28999999999999998</v>
      </c>
      <c r="L22" s="167">
        <f>'[7]Прил 3.1'!J22</f>
        <v>0.4</v>
      </c>
      <c r="M22" s="99" t="e">
        <f t="shared" si="5"/>
        <v>#REF!</v>
      </c>
    </row>
    <row r="23" spans="1:14" x14ac:dyDescent="0.35">
      <c r="A23" s="113" t="s">
        <v>128</v>
      </c>
      <c r="B23" s="142" t="s">
        <v>116</v>
      </c>
      <c r="C23" s="143" t="s">
        <v>45</v>
      </c>
      <c r="D23" s="144">
        <v>47</v>
      </c>
      <c r="E23" s="116" t="e">
        <f t="shared" si="0"/>
        <v>#REF!</v>
      </c>
      <c r="F23" s="91" t="e">
        <f t="shared" si="1"/>
        <v>#REF!</v>
      </c>
      <c r="G23" s="115" t="e">
        <f t="shared" si="2"/>
        <v>#REF!</v>
      </c>
      <c r="H23" s="116" t="e">
        <f t="shared" si="3"/>
        <v>#REF!</v>
      </c>
      <c r="I23" s="91" t="e">
        <f t="shared" si="4"/>
        <v>#REF!</v>
      </c>
      <c r="J23" s="160" t="e">
        <f>'5 этажей  (2011)'!F29</f>
        <v>#REF!</v>
      </c>
      <c r="K23" s="166">
        <v>0.3</v>
      </c>
      <c r="L23" s="167">
        <f>'[7]Прил 3.1'!J23</f>
        <v>0.4</v>
      </c>
      <c r="M23" s="99" t="e">
        <f t="shared" si="5"/>
        <v>#REF!</v>
      </c>
    </row>
    <row r="24" spans="1:14" x14ac:dyDescent="0.35">
      <c r="A24" s="113" t="s">
        <v>129</v>
      </c>
      <c r="B24" s="142" t="s">
        <v>117</v>
      </c>
      <c r="C24" s="143" t="s">
        <v>45</v>
      </c>
      <c r="D24" s="144">
        <v>59</v>
      </c>
      <c r="E24" s="116" t="e">
        <f t="shared" si="0"/>
        <v>#REF!</v>
      </c>
      <c r="F24" s="91" t="e">
        <f t="shared" si="1"/>
        <v>#REF!</v>
      </c>
      <c r="G24" s="115" t="e">
        <f t="shared" si="2"/>
        <v>#REF!</v>
      </c>
      <c r="H24" s="116" t="e">
        <f t="shared" si="3"/>
        <v>#REF!</v>
      </c>
      <c r="I24" s="91" t="e">
        <f t="shared" si="4"/>
        <v>#REF!</v>
      </c>
      <c r="J24" s="160" t="e">
        <f>'6 этажей  (2011)'!F29</f>
        <v>#REF!</v>
      </c>
      <c r="K24" s="166">
        <v>0.21</v>
      </c>
      <c r="L24" s="167">
        <f>'[7]Прил 3.1'!J24</f>
        <v>0.31</v>
      </c>
      <c r="M24" s="99" t="e">
        <f t="shared" si="5"/>
        <v>#REF!</v>
      </c>
    </row>
    <row r="25" spans="1:14" x14ac:dyDescent="0.35">
      <c r="A25" s="113" t="s">
        <v>130</v>
      </c>
      <c r="B25" s="142" t="s">
        <v>118</v>
      </c>
      <c r="C25" s="143" t="s">
        <v>45</v>
      </c>
      <c r="D25" s="144">
        <v>66</v>
      </c>
      <c r="E25" s="116" t="e">
        <f t="shared" si="0"/>
        <v>#REF!</v>
      </c>
      <c r="F25" s="91" t="e">
        <f t="shared" si="1"/>
        <v>#REF!</v>
      </c>
      <c r="G25" s="115" t="e">
        <f t="shared" si="2"/>
        <v>#REF!</v>
      </c>
      <c r="H25" s="116" t="e">
        <f t="shared" si="3"/>
        <v>#REF!</v>
      </c>
      <c r="I25" s="91" t="e">
        <f t="shared" si="4"/>
        <v>#REF!</v>
      </c>
      <c r="J25" s="160" t="e">
        <f>'7 этажей  (2011)'!F29</f>
        <v>#REF!</v>
      </c>
      <c r="K25" s="166">
        <v>0.19</v>
      </c>
      <c r="L25" s="167">
        <f>'[7]Прил 3.1'!J25</f>
        <v>0.27</v>
      </c>
      <c r="M25" s="99" t="e">
        <f t="shared" si="5"/>
        <v>#REF!</v>
      </c>
    </row>
    <row r="26" spans="1:14" x14ac:dyDescent="0.35">
      <c r="A26" s="113" t="s">
        <v>131</v>
      </c>
      <c r="B26" s="142" t="s">
        <v>119</v>
      </c>
      <c r="C26" s="143" t="s">
        <v>45</v>
      </c>
      <c r="D26" s="144">
        <v>58</v>
      </c>
      <c r="E26" s="116" t="e">
        <f t="shared" si="0"/>
        <v>#REF!</v>
      </c>
      <c r="F26" s="91" t="e">
        <f t="shared" si="1"/>
        <v>#REF!</v>
      </c>
      <c r="G26" s="115" t="e">
        <f t="shared" si="2"/>
        <v>#REF!</v>
      </c>
      <c r="H26" s="116" t="e">
        <f t="shared" si="3"/>
        <v>#REF!</v>
      </c>
      <c r="I26" s="91" t="e">
        <f t="shared" si="4"/>
        <v>#REF!</v>
      </c>
      <c r="J26" s="160" t="e">
        <f>'8 этажей  (2011)'!F29</f>
        <v>#REF!</v>
      </c>
      <c r="K26" s="166">
        <v>0.22</v>
      </c>
      <c r="L26" s="167">
        <f>'[7]Прил 3.1'!J26</f>
        <v>0.31</v>
      </c>
      <c r="M26" s="99" t="e">
        <f t="shared" si="5"/>
        <v>#REF!</v>
      </c>
    </row>
    <row r="27" spans="1:14" x14ac:dyDescent="0.35">
      <c r="A27" s="113" t="s">
        <v>132</v>
      </c>
      <c r="B27" s="142" t="s">
        <v>120</v>
      </c>
      <c r="C27" s="143" t="s">
        <v>45</v>
      </c>
      <c r="D27" s="144">
        <v>58</v>
      </c>
      <c r="E27" s="116" t="e">
        <f t="shared" si="0"/>
        <v>#REF!</v>
      </c>
      <c r="F27" s="91" t="e">
        <f t="shared" si="1"/>
        <v>#REF!</v>
      </c>
      <c r="G27" s="115" t="e">
        <f t="shared" si="2"/>
        <v>#REF!</v>
      </c>
      <c r="H27" s="116" t="e">
        <f t="shared" si="3"/>
        <v>#REF!</v>
      </c>
      <c r="I27" s="91" t="e">
        <f t="shared" si="4"/>
        <v>#REF!</v>
      </c>
      <c r="J27" s="160" t="e">
        <f>'9 этажей  (2011)'!F29</f>
        <v>#REF!</v>
      </c>
      <c r="K27" s="166">
        <v>0.22</v>
      </c>
      <c r="L27" s="167">
        <f>'[7]Прил 3.1'!J27</f>
        <v>0.31</v>
      </c>
      <c r="M27" s="99" t="e">
        <f t="shared" si="5"/>
        <v>#REF!</v>
      </c>
    </row>
    <row r="28" spans="1:14" x14ac:dyDescent="0.35">
      <c r="A28" s="113" t="s">
        <v>133</v>
      </c>
      <c r="B28" s="142" t="s">
        <v>121</v>
      </c>
      <c r="C28" s="143" t="s">
        <v>45</v>
      </c>
      <c r="D28" s="144">
        <v>55</v>
      </c>
      <c r="E28" s="116" t="e">
        <f t="shared" si="0"/>
        <v>#REF!</v>
      </c>
      <c r="F28" s="91" t="e">
        <f t="shared" si="1"/>
        <v>#REF!</v>
      </c>
      <c r="G28" s="115" t="e">
        <f t="shared" si="2"/>
        <v>#REF!</v>
      </c>
      <c r="H28" s="116" t="e">
        <f t="shared" si="3"/>
        <v>#REF!</v>
      </c>
      <c r="I28" s="91" t="e">
        <f t="shared" si="4"/>
        <v>#REF!</v>
      </c>
      <c r="J28" s="160" t="e">
        <f>'10 этажей  (2011)'!F29</f>
        <v>#REF!</v>
      </c>
      <c r="K28" s="166">
        <v>0.21</v>
      </c>
      <c r="L28" s="167">
        <f>'[7]Прил 3.1'!J28</f>
        <v>0.3</v>
      </c>
      <c r="M28" s="99" t="e">
        <f t="shared" si="5"/>
        <v>#REF!</v>
      </c>
    </row>
    <row r="29" spans="1:14" collapsed="1" x14ac:dyDescent="0.35">
      <c r="A29" s="113"/>
      <c r="B29" s="145"/>
      <c r="C29" s="112"/>
      <c r="D29" s="141"/>
      <c r="E29" s="116">
        <f t="shared" si="0"/>
        <v>0</v>
      </c>
      <c r="F29" s="91">
        <f t="shared" si="1"/>
        <v>0</v>
      </c>
      <c r="G29" s="115">
        <f t="shared" si="2"/>
        <v>0</v>
      </c>
      <c r="H29" s="116">
        <f t="shared" si="3"/>
        <v>0</v>
      </c>
      <c r="I29" s="91">
        <f t="shared" si="4"/>
        <v>0</v>
      </c>
      <c r="J29" s="160"/>
      <c r="K29" s="166">
        <v>0</v>
      </c>
      <c r="L29" s="167">
        <f>'[7]Прил 3.1'!J29</f>
        <v>0</v>
      </c>
      <c r="M29" s="99"/>
    </row>
    <row r="30" spans="1:14" ht="34.799999999999997" x14ac:dyDescent="0.35">
      <c r="A30" s="113" t="s">
        <v>134</v>
      </c>
      <c r="B30" s="146" t="s">
        <v>110</v>
      </c>
      <c r="C30" s="147"/>
      <c r="D30" s="148"/>
      <c r="E30" s="116">
        <f t="shared" si="0"/>
        <v>0</v>
      </c>
      <c r="F30" s="91">
        <f t="shared" si="1"/>
        <v>0</v>
      </c>
      <c r="G30" s="115">
        <f t="shared" si="2"/>
        <v>0</v>
      </c>
      <c r="H30" s="116">
        <f t="shared" si="3"/>
        <v>0</v>
      </c>
      <c r="I30" s="91">
        <f t="shared" si="4"/>
        <v>0</v>
      </c>
      <c r="J30" s="160"/>
      <c r="K30" s="166">
        <v>0</v>
      </c>
      <c r="L30" s="167">
        <f>'[7]Прил 3.1'!J30</f>
        <v>0</v>
      </c>
      <c r="M30" s="99"/>
    </row>
    <row r="31" spans="1:14" x14ac:dyDescent="0.35">
      <c r="A31" s="113" t="s">
        <v>135</v>
      </c>
      <c r="B31" s="142" t="s">
        <v>112</v>
      </c>
      <c r="C31" s="143" t="s">
        <v>45</v>
      </c>
      <c r="D31" s="144">
        <v>50</v>
      </c>
      <c r="E31" s="116" t="e">
        <f t="shared" si="0"/>
        <v>#REF!</v>
      </c>
      <c r="F31" s="91" t="e">
        <f t="shared" si="1"/>
        <v>#REF!</v>
      </c>
      <c r="G31" s="115" t="e">
        <f t="shared" si="2"/>
        <v>#REF!</v>
      </c>
      <c r="H31" s="116" t="e">
        <f t="shared" si="3"/>
        <v>#REF!</v>
      </c>
      <c r="I31" s="91" t="e">
        <f t="shared" si="4"/>
        <v>#REF!</v>
      </c>
      <c r="J31" s="160" t="e">
        <f>'1 этаж (2011 с колонками)'!F29</f>
        <v>#REF!</v>
      </c>
      <c r="K31" s="166">
        <v>0.26</v>
      </c>
      <c r="L31" s="167">
        <f>'[7]Прил 3.1'!J31</f>
        <v>0.32</v>
      </c>
      <c r="M31" s="99" t="e">
        <f>J31/L31</f>
        <v>#REF!</v>
      </c>
    </row>
    <row r="32" spans="1:14" x14ac:dyDescent="0.35">
      <c r="A32" s="113" t="s">
        <v>136</v>
      </c>
      <c r="B32" s="142" t="s">
        <v>113</v>
      </c>
      <c r="C32" s="143" t="s">
        <v>45</v>
      </c>
      <c r="D32" s="144">
        <v>51</v>
      </c>
      <c r="E32" s="116" t="e">
        <f t="shared" si="0"/>
        <v>#REF!</v>
      </c>
      <c r="F32" s="91" t="e">
        <f t="shared" si="1"/>
        <v>#REF!</v>
      </c>
      <c r="G32" s="115" t="e">
        <f t="shared" si="2"/>
        <v>#REF!</v>
      </c>
      <c r="H32" s="116" t="e">
        <f t="shared" si="3"/>
        <v>#REF!</v>
      </c>
      <c r="I32" s="91" t="e">
        <f t="shared" si="4"/>
        <v>#REF!</v>
      </c>
      <c r="J32" s="160" t="e">
        <f>'2 этажа (2011 с колонками)'!F29</f>
        <v>#REF!</v>
      </c>
      <c r="K32" s="166">
        <v>0.57999999999999996</v>
      </c>
      <c r="L32" s="167">
        <f>'[7]Прил 3.1'!J32</f>
        <v>0.82</v>
      </c>
      <c r="M32" s="99" t="e">
        <f>J32/L32</f>
        <v>#REF!</v>
      </c>
    </row>
    <row r="33" spans="1:13" x14ac:dyDescent="0.35">
      <c r="A33" s="113" t="s">
        <v>137</v>
      </c>
      <c r="B33" s="142" t="s">
        <v>114</v>
      </c>
      <c r="C33" s="143" t="s">
        <v>45</v>
      </c>
      <c r="D33" s="144">
        <v>55</v>
      </c>
      <c r="E33" s="116" t="e">
        <f t="shared" si="0"/>
        <v>#REF!</v>
      </c>
      <c r="F33" s="91" t="e">
        <f t="shared" si="1"/>
        <v>#REF!</v>
      </c>
      <c r="G33" s="115" t="e">
        <f t="shared" si="2"/>
        <v>#REF!</v>
      </c>
      <c r="H33" s="116" t="e">
        <f t="shared" si="3"/>
        <v>#REF!</v>
      </c>
      <c r="I33" s="91" t="e">
        <f t="shared" si="4"/>
        <v>#REF!</v>
      </c>
      <c r="J33" s="160" t="e">
        <f>'3 этажа (2011 с колонками)'!F29</f>
        <v>#REF!</v>
      </c>
      <c r="K33" s="166">
        <v>0.38</v>
      </c>
      <c r="L33" s="167">
        <f>'[7]Прил 3.1'!J33</f>
        <v>0.53</v>
      </c>
      <c r="M33" s="99" t="e">
        <f>J33/L33</f>
        <v>#REF!</v>
      </c>
    </row>
    <row r="34" spans="1:13" ht="15.75" customHeight="1" x14ac:dyDescent="0.35">
      <c r="A34" s="113" t="s">
        <v>138</v>
      </c>
      <c r="B34" s="142" t="s">
        <v>115</v>
      </c>
      <c r="C34" s="143" t="s">
        <v>45</v>
      </c>
      <c r="D34" s="144">
        <v>56</v>
      </c>
      <c r="E34" s="116" t="e">
        <f t="shared" si="0"/>
        <v>#REF!</v>
      </c>
      <c r="F34" s="91" t="e">
        <f t="shared" si="1"/>
        <v>#REF!</v>
      </c>
      <c r="G34" s="115" t="e">
        <f t="shared" si="2"/>
        <v>#REF!</v>
      </c>
      <c r="H34" s="116" t="e">
        <f t="shared" si="3"/>
        <v>#REF!</v>
      </c>
      <c r="I34" s="91" t="e">
        <f t="shared" si="4"/>
        <v>#REF!</v>
      </c>
      <c r="J34" s="160" t="e">
        <f>'4 этажа (2011с колонками)'!F29</f>
        <v>#REF!</v>
      </c>
      <c r="K34" s="166">
        <v>0.36</v>
      </c>
      <c r="L34" s="167">
        <f>'[7]Прил 3.1'!J34</f>
        <v>0.53</v>
      </c>
      <c r="M34" s="99" t="e">
        <f>J34/L34</f>
        <v>#REF!</v>
      </c>
    </row>
    <row r="35" spans="1:13" ht="18" thickBot="1" x14ac:dyDescent="0.4">
      <c r="A35" s="114" t="s">
        <v>139</v>
      </c>
      <c r="B35" s="149" t="s">
        <v>116</v>
      </c>
      <c r="C35" s="150" t="s">
        <v>45</v>
      </c>
      <c r="D35" s="151">
        <v>47</v>
      </c>
      <c r="E35" s="117" t="e">
        <f t="shared" si="0"/>
        <v>#REF!</v>
      </c>
      <c r="F35" s="118" t="e">
        <f t="shared" si="1"/>
        <v>#REF!</v>
      </c>
      <c r="G35" s="119" t="e">
        <f t="shared" si="2"/>
        <v>#REF!</v>
      </c>
      <c r="H35" s="117" t="e">
        <f t="shared" si="3"/>
        <v>#REF!</v>
      </c>
      <c r="I35" s="118" t="e">
        <f t="shared" si="4"/>
        <v>#REF!</v>
      </c>
      <c r="J35" s="161" t="e">
        <f>'5 этажей  (2011 с колонками)'!F29</f>
        <v>#REF!</v>
      </c>
      <c r="K35" s="166">
        <v>0.36</v>
      </c>
      <c r="L35" s="167">
        <f>'[7]Прил 3.1'!J35</f>
        <v>0.52</v>
      </c>
      <c r="M35" s="168" t="e">
        <f>J35/L35</f>
        <v>#REF!</v>
      </c>
    </row>
  </sheetData>
  <sheetProtection selectLockedCells="1" selectUnlockedCells="1"/>
  <mergeCells count="16">
    <mergeCell ref="L11:L13"/>
    <mergeCell ref="M11:M13"/>
    <mergeCell ref="A9:J9"/>
    <mergeCell ref="A10:J10"/>
    <mergeCell ref="E11:G11"/>
    <mergeCell ref="H11:J11"/>
    <mergeCell ref="I12:I14"/>
    <mergeCell ref="J12:J14"/>
    <mergeCell ref="A11:A14"/>
    <mergeCell ref="B11:B14"/>
    <mergeCell ref="H12:H14"/>
    <mergeCell ref="D11:D14"/>
    <mergeCell ref="C11:C14"/>
    <mergeCell ref="E12:E14"/>
    <mergeCell ref="F12:F14"/>
    <mergeCell ref="G12:G14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72" orientation="landscape" blackAndWhite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E21"/>
  <sheetViews>
    <sheetView view="pageBreakPreview" zoomScale="60" zoomScaleNormal="100" workbookViewId="0">
      <selection activeCell="AG48" sqref="AG48"/>
    </sheetView>
  </sheetViews>
  <sheetFormatPr defaultColWidth="8" defaultRowHeight="15.6" outlineLevelRow="1" x14ac:dyDescent="0.3"/>
  <cols>
    <col min="1" max="1" width="8" style="310" customWidth="1"/>
    <col min="2" max="2" width="30.8984375" style="310" customWidth="1"/>
    <col min="3" max="4" width="19" style="310" customWidth="1"/>
    <col min="5" max="5" width="18.19921875" style="310" customWidth="1"/>
    <col min="6" max="16384" width="8" style="310"/>
  </cols>
  <sheetData>
    <row r="1" spans="1:5" x14ac:dyDescent="0.3">
      <c r="A1" s="951" t="s">
        <v>232</v>
      </c>
      <c r="B1" s="951"/>
      <c r="C1" s="951"/>
      <c r="D1" s="951"/>
      <c r="E1" s="951"/>
    </row>
    <row r="2" spans="1:5" x14ac:dyDescent="0.3">
      <c r="E2" s="310" t="s">
        <v>233</v>
      </c>
    </row>
    <row r="3" spans="1:5" s="298" customFormat="1" ht="33" customHeight="1" x14ac:dyDescent="0.3">
      <c r="A3" s="952" t="s">
        <v>7</v>
      </c>
      <c r="B3" s="952" t="s">
        <v>234</v>
      </c>
      <c r="C3" s="952" t="s">
        <v>235</v>
      </c>
      <c r="D3" s="952"/>
      <c r="E3" s="952" t="s">
        <v>236</v>
      </c>
    </row>
    <row r="4" spans="1:5" s="298" customFormat="1" ht="33" customHeight="1" x14ac:dyDescent="0.3">
      <c r="A4" s="952"/>
      <c r="B4" s="952"/>
      <c r="C4" s="300" t="s">
        <v>239</v>
      </c>
      <c r="D4" s="300" t="s">
        <v>238</v>
      </c>
      <c r="E4" s="952"/>
    </row>
    <row r="5" spans="1:5" ht="29.25" customHeight="1" x14ac:dyDescent="0.3">
      <c r="A5" s="311"/>
      <c r="B5" s="312" t="s">
        <v>219</v>
      </c>
      <c r="C5" s="311"/>
      <c r="D5" s="311"/>
      <c r="E5" s="311"/>
    </row>
    <row r="6" spans="1:5" ht="29.25" hidden="1" customHeight="1" outlineLevel="1" x14ac:dyDescent="0.3">
      <c r="A6" s="299">
        <v>1</v>
      </c>
      <c r="B6" s="299" t="s">
        <v>221</v>
      </c>
      <c r="C6" s="313">
        <f>'[8]свод 21 ноября '!H35</f>
        <v>0.31</v>
      </c>
      <c r="D6" s="313">
        <f>'[8]свод 21 ноября '!H27</f>
        <v>1.3</v>
      </c>
      <c r="E6" s="314">
        <f t="shared" ref="E6:E15" si="0">D6/C6</f>
        <v>4.1900000000000004</v>
      </c>
    </row>
    <row r="7" spans="1:5" ht="29.25" customHeight="1" collapsed="1" x14ac:dyDescent="0.3">
      <c r="A7" s="299">
        <v>1</v>
      </c>
      <c r="B7" s="299" t="s">
        <v>222</v>
      </c>
      <c r="C7" s="313" t="e">
        <f>#REF!</f>
        <v>#REF!</v>
      </c>
      <c r="D7" s="313" t="e">
        <f>#REF!</f>
        <v>#REF!</v>
      </c>
      <c r="E7" s="314" t="e">
        <f t="shared" si="0"/>
        <v>#REF!</v>
      </c>
    </row>
    <row r="8" spans="1:5" ht="29.25" customHeight="1" x14ac:dyDescent="0.3">
      <c r="A8" s="299">
        <v>2</v>
      </c>
      <c r="B8" s="299" t="s">
        <v>223</v>
      </c>
      <c r="C8" s="313" t="e">
        <f>#REF!</f>
        <v>#REF!</v>
      </c>
      <c r="D8" s="313" t="e">
        <f>#REF!</f>
        <v>#REF!</v>
      </c>
      <c r="E8" s="314" t="e">
        <f t="shared" si="0"/>
        <v>#REF!</v>
      </c>
    </row>
    <row r="9" spans="1:5" ht="29.25" customHeight="1" x14ac:dyDescent="0.3">
      <c r="A9" s="299">
        <v>3</v>
      </c>
      <c r="B9" s="299" t="s">
        <v>224</v>
      </c>
      <c r="C9" s="313" t="e">
        <f>#REF!</f>
        <v>#REF!</v>
      </c>
      <c r="D9" s="313" t="e">
        <f>#REF!</f>
        <v>#REF!</v>
      </c>
      <c r="E9" s="314" t="e">
        <f t="shared" si="0"/>
        <v>#REF!</v>
      </c>
    </row>
    <row r="10" spans="1:5" ht="29.25" customHeight="1" x14ac:dyDescent="0.3">
      <c r="A10" s="299">
        <v>4</v>
      </c>
      <c r="B10" s="299" t="s">
        <v>225</v>
      </c>
      <c r="C10" s="313" t="e">
        <f>#REF!</f>
        <v>#REF!</v>
      </c>
      <c r="D10" s="313" t="e">
        <f>#REF!</f>
        <v>#REF!</v>
      </c>
      <c r="E10" s="314" t="e">
        <f t="shared" si="0"/>
        <v>#REF!</v>
      </c>
    </row>
    <row r="11" spans="1:5" ht="29.25" customHeight="1" x14ac:dyDescent="0.3">
      <c r="A11" s="299">
        <v>5</v>
      </c>
      <c r="B11" s="299" t="s">
        <v>226</v>
      </c>
      <c r="C11" s="313" t="e">
        <f>#REF!</f>
        <v>#REF!</v>
      </c>
      <c r="D11" s="313" t="e">
        <f>#REF!</f>
        <v>#REF!</v>
      </c>
      <c r="E11" s="314" t="e">
        <f t="shared" si="0"/>
        <v>#REF!</v>
      </c>
    </row>
    <row r="12" spans="1:5" ht="29.25" customHeight="1" x14ac:dyDescent="0.3">
      <c r="A12" s="299">
        <v>6</v>
      </c>
      <c r="B12" s="299" t="s">
        <v>227</v>
      </c>
      <c r="C12" s="313" t="e">
        <f>#REF!</f>
        <v>#REF!</v>
      </c>
      <c r="D12" s="313" t="e">
        <f>#REF!</f>
        <v>#REF!</v>
      </c>
      <c r="E12" s="314" t="e">
        <f t="shared" si="0"/>
        <v>#REF!</v>
      </c>
    </row>
    <row r="13" spans="1:5" ht="29.25" customHeight="1" x14ac:dyDescent="0.3">
      <c r="A13" s="299">
        <v>7</v>
      </c>
      <c r="B13" s="299" t="s">
        <v>228</v>
      </c>
      <c r="C13" s="313" t="e">
        <f>#REF!</f>
        <v>#REF!</v>
      </c>
      <c r="D13" s="313" t="e">
        <f>#REF!</f>
        <v>#REF!</v>
      </c>
      <c r="E13" s="314" t="e">
        <f t="shared" si="0"/>
        <v>#REF!</v>
      </c>
    </row>
    <row r="14" spans="1:5" ht="29.25" customHeight="1" x14ac:dyDescent="0.3">
      <c r="A14" s="299">
        <v>8</v>
      </c>
      <c r="B14" s="299" t="s">
        <v>229</v>
      </c>
      <c r="C14" s="313" t="e">
        <f>#REF!</f>
        <v>#REF!</v>
      </c>
      <c r="D14" s="313" t="e">
        <f>#REF!</f>
        <v>#REF!</v>
      </c>
      <c r="E14" s="314" t="e">
        <f t="shared" si="0"/>
        <v>#REF!</v>
      </c>
    </row>
    <row r="15" spans="1:5" ht="29.25" customHeight="1" x14ac:dyDescent="0.3">
      <c r="A15" s="299">
        <v>9</v>
      </c>
      <c r="B15" s="299" t="s">
        <v>230</v>
      </c>
      <c r="C15" s="313" t="e">
        <f>#REF!</f>
        <v>#REF!</v>
      </c>
      <c r="D15" s="313" t="e">
        <f>#REF!</f>
        <v>#REF!</v>
      </c>
      <c r="E15" s="314" t="e">
        <f t="shared" si="0"/>
        <v>#REF!</v>
      </c>
    </row>
    <row r="16" spans="1:5" ht="29.25" customHeight="1" x14ac:dyDescent="0.3">
      <c r="A16" s="312"/>
      <c r="B16" s="312" t="s">
        <v>220</v>
      </c>
      <c r="C16" s="311"/>
      <c r="D16" s="311"/>
      <c r="E16" s="311"/>
    </row>
    <row r="17" spans="1:5" ht="29.25" hidden="1" customHeight="1" outlineLevel="1" x14ac:dyDescent="0.3">
      <c r="A17" s="299">
        <v>11</v>
      </c>
      <c r="B17" s="299" t="s">
        <v>221</v>
      </c>
      <c r="C17" s="313">
        <f>'[8]свод 21 ноября '!AC35</f>
        <v>0.32</v>
      </c>
      <c r="D17" s="313">
        <f>'[8]свод 21 ноября '!AC27</f>
        <v>1.08</v>
      </c>
      <c r="E17" s="314">
        <f>D17/C17</f>
        <v>3.38</v>
      </c>
    </row>
    <row r="18" spans="1:5" ht="29.25" customHeight="1" collapsed="1" x14ac:dyDescent="0.3">
      <c r="A18" s="299">
        <v>10</v>
      </c>
      <c r="B18" s="299" t="s">
        <v>222</v>
      </c>
      <c r="C18" s="313" t="e">
        <f>#REF!</f>
        <v>#REF!</v>
      </c>
      <c r="D18" s="313" t="e">
        <f>#REF!</f>
        <v>#REF!</v>
      </c>
      <c r="E18" s="314" t="e">
        <f>D18/C18</f>
        <v>#REF!</v>
      </c>
    </row>
    <row r="19" spans="1:5" ht="29.25" customHeight="1" x14ac:dyDescent="0.3">
      <c r="A19" s="299">
        <v>11</v>
      </c>
      <c r="B19" s="299" t="s">
        <v>223</v>
      </c>
      <c r="C19" s="313" t="e">
        <f>#REF!</f>
        <v>#REF!</v>
      </c>
      <c r="D19" s="313" t="e">
        <f>#REF!</f>
        <v>#REF!</v>
      </c>
      <c r="E19" s="314" t="e">
        <f>D19/C19</f>
        <v>#REF!</v>
      </c>
    </row>
    <row r="20" spans="1:5" ht="29.25" customHeight="1" x14ac:dyDescent="0.3">
      <c r="A20" s="299">
        <v>12</v>
      </c>
      <c r="B20" s="299" t="s">
        <v>224</v>
      </c>
      <c r="C20" s="313" t="e">
        <f>#REF!</f>
        <v>#REF!</v>
      </c>
      <c r="D20" s="313" t="e">
        <f>#REF!</f>
        <v>#REF!</v>
      </c>
      <c r="E20" s="314" t="e">
        <f>D20/C20</f>
        <v>#REF!</v>
      </c>
    </row>
    <row r="21" spans="1:5" ht="29.25" customHeight="1" x14ac:dyDescent="0.3">
      <c r="A21" s="299">
        <v>13</v>
      </c>
      <c r="B21" s="299" t="s">
        <v>225</v>
      </c>
      <c r="C21" s="313" t="e">
        <f>#REF!</f>
        <v>#REF!</v>
      </c>
      <c r="D21" s="313" t="e">
        <f>#REF!</f>
        <v>#REF!</v>
      </c>
      <c r="E21" s="314" t="e">
        <f>D21/C21</f>
        <v>#REF!</v>
      </c>
    </row>
  </sheetData>
  <mergeCells count="5">
    <mergeCell ref="A1:E1"/>
    <mergeCell ref="C3:D3"/>
    <mergeCell ref="E3:E4"/>
    <mergeCell ref="B3:B4"/>
    <mergeCell ref="A3:A4"/>
  </mergeCells>
  <phoneticPr fontId="3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21"/>
  <sheetViews>
    <sheetView view="pageBreakPreview" zoomScale="60" zoomScaleNormal="100" workbookViewId="0">
      <selection activeCell="L19" sqref="L19"/>
    </sheetView>
  </sheetViews>
  <sheetFormatPr defaultColWidth="8" defaultRowHeight="15.6" outlineLevelRow="1" x14ac:dyDescent="0.3"/>
  <cols>
    <col min="1" max="1" width="8" style="310" customWidth="1"/>
    <col min="2" max="2" width="30.8984375" style="310" customWidth="1"/>
    <col min="3" max="4" width="19" style="310" customWidth="1"/>
    <col min="5" max="5" width="18.19921875" style="310" customWidth="1"/>
    <col min="6" max="16384" width="8" style="310"/>
  </cols>
  <sheetData>
    <row r="1" spans="1:5" x14ac:dyDescent="0.3">
      <c r="A1" s="951" t="s">
        <v>232</v>
      </c>
      <c r="B1" s="951"/>
      <c r="C1" s="951"/>
      <c r="D1" s="951"/>
      <c r="E1" s="951"/>
    </row>
    <row r="2" spans="1:5" x14ac:dyDescent="0.3">
      <c r="E2" s="310" t="s">
        <v>233</v>
      </c>
    </row>
    <row r="3" spans="1:5" s="298" customFormat="1" ht="33" customHeight="1" x14ac:dyDescent="0.3">
      <c r="A3" s="952" t="s">
        <v>7</v>
      </c>
      <c r="B3" s="952" t="s">
        <v>234</v>
      </c>
      <c r="C3" s="952" t="s">
        <v>235</v>
      </c>
      <c r="D3" s="952"/>
      <c r="E3" s="952" t="s">
        <v>236</v>
      </c>
    </row>
    <row r="4" spans="1:5" s="298" customFormat="1" ht="33" customHeight="1" x14ac:dyDescent="0.3">
      <c r="A4" s="952"/>
      <c r="B4" s="952"/>
      <c r="C4" s="300" t="s">
        <v>237</v>
      </c>
      <c r="D4" s="300" t="s">
        <v>238</v>
      </c>
      <c r="E4" s="952"/>
    </row>
    <row r="5" spans="1:5" ht="29.25" customHeight="1" x14ac:dyDescent="0.3">
      <c r="A5" s="311"/>
      <c r="B5" s="312" t="s">
        <v>219</v>
      </c>
      <c r="C5" s="311"/>
      <c r="D5" s="311"/>
      <c r="E5" s="311"/>
    </row>
    <row r="6" spans="1:5" ht="29.25" hidden="1" customHeight="1" outlineLevel="1" x14ac:dyDescent="0.3">
      <c r="A6" s="299">
        <v>1</v>
      </c>
      <c r="B6" s="299" t="s">
        <v>221</v>
      </c>
      <c r="C6" s="313">
        <f>'[8]свод 21 ноября '!H35</f>
        <v>0.31</v>
      </c>
      <c r="D6" s="313">
        <f>'[8]свод 21 ноября '!H27</f>
        <v>1.3</v>
      </c>
      <c r="E6" s="314">
        <f t="shared" ref="E6:E15" si="0">D6/C6</f>
        <v>4.1900000000000004</v>
      </c>
    </row>
    <row r="7" spans="1:5" ht="29.25" customHeight="1" collapsed="1" x14ac:dyDescent="0.3">
      <c r="A7" s="299">
        <v>1</v>
      </c>
      <c r="B7" s="299" t="s">
        <v>222</v>
      </c>
      <c r="C7" s="313" t="e">
        <f>#REF!</f>
        <v>#REF!</v>
      </c>
      <c r="D7" s="313" t="e">
        <f>#REF!</f>
        <v>#REF!</v>
      </c>
      <c r="E7" s="314" t="e">
        <f t="shared" si="0"/>
        <v>#REF!</v>
      </c>
    </row>
    <row r="8" spans="1:5" ht="29.25" customHeight="1" x14ac:dyDescent="0.3">
      <c r="A8" s="299">
        <v>2</v>
      </c>
      <c r="B8" s="299" t="s">
        <v>223</v>
      </c>
      <c r="C8" s="313" t="e">
        <f>#REF!</f>
        <v>#REF!</v>
      </c>
      <c r="D8" s="313" t="e">
        <f>#REF!</f>
        <v>#REF!</v>
      </c>
      <c r="E8" s="314" t="e">
        <f t="shared" si="0"/>
        <v>#REF!</v>
      </c>
    </row>
    <row r="9" spans="1:5" ht="29.25" customHeight="1" x14ac:dyDescent="0.3">
      <c r="A9" s="299">
        <v>3</v>
      </c>
      <c r="B9" s="299" t="s">
        <v>224</v>
      </c>
      <c r="C9" s="313" t="e">
        <f>#REF!</f>
        <v>#REF!</v>
      </c>
      <c r="D9" s="313" t="e">
        <f>#REF!</f>
        <v>#REF!</v>
      </c>
      <c r="E9" s="314" t="e">
        <f t="shared" si="0"/>
        <v>#REF!</v>
      </c>
    </row>
    <row r="10" spans="1:5" ht="29.25" customHeight="1" x14ac:dyDescent="0.3">
      <c r="A10" s="299">
        <v>4</v>
      </c>
      <c r="B10" s="299" t="s">
        <v>225</v>
      </c>
      <c r="C10" s="313" t="e">
        <f>#REF!</f>
        <v>#REF!</v>
      </c>
      <c r="D10" s="313" t="e">
        <f>#REF!</f>
        <v>#REF!</v>
      </c>
      <c r="E10" s="314" t="e">
        <f t="shared" si="0"/>
        <v>#REF!</v>
      </c>
    </row>
    <row r="11" spans="1:5" ht="29.25" customHeight="1" x14ac:dyDescent="0.3">
      <c r="A11" s="299">
        <v>5</v>
      </c>
      <c r="B11" s="299" t="s">
        <v>226</v>
      </c>
      <c r="C11" s="313" t="e">
        <f>#REF!</f>
        <v>#REF!</v>
      </c>
      <c r="D11" s="313" t="e">
        <f>#REF!</f>
        <v>#REF!</v>
      </c>
      <c r="E11" s="314" t="e">
        <f t="shared" si="0"/>
        <v>#REF!</v>
      </c>
    </row>
    <row r="12" spans="1:5" ht="29.25" customHeight="1" x14ac:dyDescent="0.3">
      <c r="A12" s="299">
        <v>6</v>
      </c>
      <c r="B12" s="299" t="s">
        <v>227</v>
      </c>
      <c r="C12" s="313" t="e">
        <f>#REF!</f>
        <v>#REF!</v>
      </c>
      <c r="D12" s="313" t="e">
        <f>#REF!</f>
        <v>#REF!</v>
      </c>
      <c r="E12" s="314" t="e">
        <f t="shared" si="0"/>
        <v>#REF!</v>
      </c>
    </row>
    <row r="13" spans="1:5" ht="29.25" customHeight="1" x14ac:dyDescent="0.3">
      <c r="A13" s="299">
        <v>7</v>
      </c>
      <c r="B13" s="299" t="s">
        <v>228</v>
      </c>
      <c r="C13" s="313" t="e">
        <f>#REF!</f>
        <v>#REF!</v>
      </c>
      <c r="D13" s="313" t="e">
        <f>#REF!</f>
        <v>#REF!</v>
      </c>
      <c r="E13" s="314" t="e">
        <f t="shared" si="0"/>
        <v>#REF!</v>
      </c>
    </row>
    <row r="14" spans="1:5" ht="29.25" customHeight="1" x14ac:dyDescent="0.3">
      <c r="A14" s="299">
        <v>8</v>
      </c>
      <c r="B14" s="299" t="s">
        <v>229</v>
      </c>
      <c r="C14" s="313" t="e">
        <f>#REF!</f>
        <v>#REF!</v>
      </c>
      <c r="D14" s="313" t="e">
        <f>#REF!</f>
        <v>#REF!</v>
      </c>
      <c r="E14" s="314" t="e">
        <f t="shared" si="0"/>
        <v>#REF!</v>
      </c>
    </row>
    <row r="15" spans="1:5" ht="29.25" customHeight="1" x14ac:dyDescent="0.3">
      <c r="A15" s="299">
        <v>9</v>
      </c>
      <c r="B15" s="299" t="s">
        <v>230</v>
      </c>
      <c r="C15" s="313" t="e">
        <f>#REF!</f>
        <v>#REF!</v>
      </c>
      <c r="D15" s="313" t="e">
        <f>#REF!</f>
        <v>#REF!</v>
      </c>
      <c r="E15" s="314" t="e">
        <f t="shared" si="0"/>
        <v>#REF!</v>
      </c>
    </row>
    <row r="16" spans="1:5" ht="29.25" customHeight="1" x14ac:dyDescent="0.3">
      <c r="A16" s="312"/>
      <c r="B16" s="312" t="s">
        <v>220</v>
      </c>
      <c r="C16" s="311"/>
      <c r="D16" s="311"/>
      <c r="E16" s="311"/>
    </row>
    <row r="17" spans="1:5" ht="29.25" hidden="1" customHeight="1" outlineLevel="1" x14ac:dyDescent="0.3">
      <c r="A17" s="299">
        <v>11</v>
      </c>
      <c r="B17" s="299" t="s">
        <v>221</v>
      </c>
      <c r="C17" s="313">
        <f>'[8]свод 21 ноября '!AC35</f>
        <v>0.32</v>
      </c>
      <c r="D17" s="313">
        <f>'[8]свод 21 ноября '!AC27</f>
        <v>1.08</v>
      </c>
      <c r="E17" s="314">
        <f>D17/C17</f>
        <v>3.38</v>
      </c>
    </row>
    <row r="18" spans="1:5" ht="29.25" customHeight="1" collapsed="1" x14ac:dyDescent="0.3">
      <c r="A18" s="299">
        <v>10</v>
      </c>
      <c r="B18" s="299" t="s">
        <v>222</v>
      </c>
      <c r="C18" s="313" t="e">
        <f>#REF!</f>
        <v>#REF!</v>
      </c>
      <c r="D18" s="313" t="e">
        <f>#REF!</f>
        <v>#REF!</v>
      </c>
      <c r="E18" s="314" t="e">
        <f>D18/C18</f>
        <v>#REF!</v>
      </c>
    </row>
    <row r="19" spans="1:5" ht="29.25" customHeight="1" x14ac:dyDescent="0.3">
      <c r="A19" s="299">
        <v>11</v>
      </c>
      <c r="B19" s="299" t="s">
        <v>223</v>
      </c>
      <c r="C19" s="313" t="e">
        <f>#REF!</f>
        <v>#REF!</v>
      </c>
      <c r="D19" s="313" t="e">
        <f>#REF!</f>
        <v>#REF!</v>
      </c>
      <c r="E19" s="314" t="e">
        <f>D19/C19</f>
        <v>#REF!</v>
      </c>
    </row>
    <row r="20" spans="1:5" ht="29.25" customHeight="1" x14ac:dyDescent="0.3">
      <c r="A20" s="299">
        <v>12</v>
      </c>
      <c r="B20" s="299" t="s">
        <v>224</v>
      </c>
      <c r="C20" s="313" t="e">
        <f>#REF!</f>
        <v>#REF!</v>
      </c>
      <c r="D20" s="313" t="e">
        <f>#REF!</f>
        <v>#REF!</v>
      </c>
      <c r="E20" s="314" t="e">
        <f>D20/C20</f>
        <v>#REF!</v>
      </c>
    </row>
    <row r="21" spans="1:5" ht="29.25" customHeight="1" x14ac:dyDescent="0.3">
      <c r="A21" s="299">
        <v>13</v>
      </c>
      <c r="B21" s="299" t="s">
        <v>225</v>
      </c>
      <c r="C21" s="313" t="e">
        <f>#REF!</f>
        <v>#REF!</v>
      </c>
      <c r="D21" s="313" t="e">
        <f>#REF!</f>
        <v>#REF!</v>
      </c>
      <c r="E21" s="314" t="e">
        <f>D21/C21</f>
        <v>#REF!</v>
      </c>
    </row>
  </sheetData>
  <mergeCells count="5">
    <mergeCell ref="A1:E1"/>
    <mergeCell ref="C3:D3"/>
    <mergeCell ref="E3:E4"/>
    <mergeCell ref="B3:B4"/>
    <mergeCell ref="A3:A4"/>
  </mergeCells>
  <phoneticPr fontId="3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AH41"/>
  <sheetViews>
    <sheetView showZeros="0" view="pageBreakPreview" topLeftCell="A7" zoomScale="75" zoomScaleNormal="100" workbookViewId="0">
      <selection activeCell="AE14" sqref="AE14"/>
    </sheetView>
  </sheetViews>
  <sheetFormatPr defaultColWidth="9" defaultRowHeight="15.6" outlineLevelRow="1" outlineLevelCol="3" x14ac:dyDescent="0.3"/>
  <cols>
    <col min="1" max="1" width="5.19921875" style="1" customWidth="1"/>
    <col min="2" max="2" width="80.8984375" style="2" customWidth="1"/>
    <col min="3" max="3" width="11.5" style="2" customWidth="1"/>
    <col min="4" max="4" width="12.69921875" style="2" customWidth="1"/>
    <col min="5" max="5" width="10.59765625" style="2" hidden="1" customWidth="1" outlineLevel="1"/>
    <col min="6" max="6" width="9" style="2" collapsed="1"/>
    <col min="7" max="7" width="15.19921875" style="2" customWidth="1"/>
    <col min="8" max="8" width="10.19921875" style="2" hidden="1" customWidth="1" outlineLevel="1"/>
    <col min="9" max="9" width="9" style="2" hidden="1" customWidth="1" outlineLevel="1"/>
    <col min="10" max="10" width="9.09765625" style="2" hidden="1" customWidth="1" outlineLevel="1"/>
    <col min="11" max="11" width="9.8984375" style="2" hidden="1" customWidth="1" outlineLevel="1"/>
    <col min="12" max="12" width="13.69921875" style="2" hidden="1" customWidth="1" outlineLevel="2"/>
    <col min="13" max="13" width="9.19921875" style="2" hidden="1" customWidth="1" outlineLevel="1" collapsed="1"/>
    <col min="14" max="14" width="9.19921875" style="2" hidden="1" customWidth="1" outlineLevel="2"/>
    <col min="15" max="15" width="12.3984375" style="2" hidden="1" customWidth="1" outlineLevel="1" collapsed="1"/>
    <col min="16" max="16" width="15" style="240" hidden="1" customWidth="1" outlineLevel="1"/>
    <col min="17" max="17" width="11.19921875" style="2" hidden="1" customWidth="1" outlineLevel="3"/>
    <col min="18" max="18" width="10" style="5" hidden="1" customWidth="1" outlineLevel="3"/>
    <col min="19" max="20" width="9" style="5" hidden="1" customWidth="1" outlineLevel="3"/>
    <col min="21" max="21" width="9" style="5" hidden="1" customWidth="1" outlineLevel="2"/>
    <col min="22" max="23" width="9" style="2" hidden="1" customWidth="1" outlineLevel="2"/>
    <col min="24" max="24" width="9.09765625" style="2" hidden="1" customWidth="1" outlineLevel="2"/>
    <col min="25" max="25" width="9.19921875" style="2" hidden="1" customWidth="1" outlineLevel="2"/>
    <col min="26" max="26" width="9" style="2" hidden="1" customWidth="1" outlineLevel="1"/>
    <col min="27" max="27" width="15.19921875" style="2" customWidth="1" collapsed="1"/>
    <col min="28" max="29" width="12.8984375" style="2" customWidth="1"/>
    <col min="30" max="16384" width="9" style="2"/>
  </cols>
  <sheetData>
    <row r="1" spans="1:30" ht="17.399999999999999" x14ac:dyDescent="0.35">
      <c r="P1" s="235" t="s">
        <v>80</v>
      </c>
    </row>
    <row r="2" spans="1:30" ht="17.399999999999999" x14ac:dyDescent="0.35">
      <c r="P2" s="239"/>
    </row>
    <row r="3" spans="1:30" ht="18" x14ac:dyDescent="0.35">
      <c r="P3" s="236" t="s">
        <v>1</v>
      </c>
    </row>
    <row r="4" spans="1:30" ht="18" x14ac:dyDescent="0.35">
      <c r="P4" s="237" t="s">
        <v>2</v>
      </c>
    </row>
    <row r="5" spans="1:30" ht="18" x14ac:dyDescent="0.35">
      <c r="P5" s="238"/>
    </row>
    <row r="6" spans="1:30" ht="23.4" x14ac:dyDescent="0.45">
      <c r="B6" s="234" t="s">
        <v>200</v>
      </c>
      <c r="P6" s="237" t="s">
        <v>3</v>
      </c>
      <c r="Q6" s="10"/>
    </row>
    <row r="7" spans="1:30" ht="15" customHeight="1" x14ac:dyDescent="0.3">
      <c r="A7" s="2"/>
      <c r="Q7" s="11"/>
    </row>
    <row r="8" spans="1:30" s="26" customFormat="1" ht="18" x14ac:dyDescent="0.35">
      <c r="A8" s="965" t="s">
        <v>1418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390"/>
    </row>
    <row r="9" spans="1:30" s="26" customFormat="1" ht="42" customHeight="1" x14ac:dyDescent="0.35">
      <c r="A9" s="966" t="s">
        <v>81</v>
      </c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6"/>
      <c r="U9" s="966"/>
      <c r="V9" s="966"/>
      <c r="W9" s="966"/>
      <c r="X9" s="966"/>
      <c r="Y9" s="966"/>
      <c r="Z9" s="966"/>
      <c r="AA9" s="966"/>
      <c r="AB9" s="966"/>
      <c r="AC9" s="582"/>
    </row>
    <row r="10" spans="1:30" ht="15.75" customHeight="1" x14ac:dyDescent="0.3">
      <c r="A10" s="967" t="s">
        <v>7</v>
      </c>
      <c r="B10" s="968" t="s">
        <v>8</v>
      </c>
      <c r="C10" s="954" t="s">
        <v>9</v>
      </c>
      <c r="D10" s="954" t="s">
        <v>10</v>
      </c>
      <c r="E10" s="954" t="s">
        <v>82</v>
      </c>
      <c r="F10" s="954" t="s">
        <v>11</v>
      </c>
      <c r="G10" s="954" t="s">
        <v>268</v>
      </c>
      <c r="H10" s="954" t="s">
        <v>13</v>
      </c>
      <c r="I10" s="954" t="s">
        <v>14</v>
      </c>
      <c r="J10" s="954" t="s">
        <v>196</v>
      </c>
      <c r="K10" s="954" t="s">
        <v>197</v>
      </c>
      <c r="L10" s="954" t="s">
        <v>17</v>
      </c>
      <c r="M10" s="954" t="s">
        <v>195</v>
      </c>
      <c r="N10" s="954" t="s">
        <v>19</v>
      </c>
      <c r="O10" s="954" t="s">
        <v>83</v>
      </c>
      <c r="P10" s="957" t="s">
        <v>96</v>
      </c>
      <c r="Q10" s="954" t="s">
        <v>20</v>
      </c>
      <c r="R10" s="960" t="s">
        <v>21</v>
      </c>
      <c r="S10" s="972" t="s">
        <v>270</v>
      </c>
      <c r="T10" s="973"/>
      <c r="U10" s="971" t="s">
        <v>257</v>
      </c>
      <c r="V10" s="971" t="s">
        <v>84</v>
      </c>
      <c r="AA10" s="954" t="s">
        <v>271</v>
      </c>
      <c r="AB10" s="954" t="s">
        <v>1417</v>
      </c>
      <c r="AC10" s="578"/>
    </row>
    <row r="11" spans="1:30" x14ac:dyDescent="0.3">
      <c r="A11" s="963"/>
      <c r="B11" s="969"/>
      <c r="C11" s="963" t="s">
        <v>23</v>
      </c>
      <c r="D11" s="963" t="s">
        <v>24</v>
      </c>
      <c r="E11" s="963" t="s">
        <v>24</v>
      </c>
      <c r="F11" s="963" t="s">
        <v>25</v>
      </c>
      <c r="G11" s="963" t="s">
        <v>26</v>
      </c>
      <c r="H11" s="963" t="s">
        <v>27</v>
      </c>
      <c r="I11" s="963"/>
      <c r="J11" s="963"/>
      <c r="K11" s="963"/>
      <c r="L11" s="963"/>
      <c r="M11" s="963"/>
      <c r="N11" s="963"/>
      <c r="O11" s="955"/>
      <c r="P11" s="958"/>
      <c r="Q11" s="955"/>
      <c r="R11" s="961"/>
      <c r="S11" s="974"/>
      <c r="T11" s="975"/>
      <c r="U11" s="971"/>
      <c r="V11" s="971"/>
      <c r="AA11" s="963"/>
      <c r="AB11" s="963"/>
      <c r="AC11" s="391"/>
    </row>
    <row r="12" spans="1:30" x14ac:dyDescent="0.3">
      <c r="A12" s="963"/>
      <c r="B12" s="969"/>
      <c r="C12" s="963"/>
      <c r="D12" s="963" t="s">
        <v>31</v>
      </c>
      <c r="E12" s="963" t="s">
        <v>31</v>
      </c>
      <c r="F12" s="963" t="s">
        <v>32</v>
      </c>
      <c r="G12" s="963" t="s">
        <v>33</v>
      </c>
      <c r="H12" s="963" t="s">
        <v>34</v>
      </c>
      <c r="I12" s="963"/>
      <c r="J12" s="963"/>
      <c r="K12" s="963"/>
      <c r="L12" s="963"/>
      <c r="M12" s="963"/>
      <c r="N12" s="963"/>
      <c r="O12" s="955"/>
      <c r="P12" s="958"/>
      <c r="Q12" s="955"/>
      <c r="R12" s="961"/>
      <c r="S12" s="974"/>
      <c r="T12" s="975"/>
      <c r="U12" s="971"/>
      <c r="V12" s="971"/>
      <c r="AA12" s="963"/>
      <c r="AB12" s="963"/>
      <c r="AC12" s="391"/>
    </row>
    <row r="13" spans="1:30" ht="72" customHeight="1" x14ac:dyDescent="0.3">
      <c r="A13" s="964"/>
      <c r="B13" s="970"/>
      <c r="C13" s="964"/>
      <c r="D13" s="964" t="s">
        <v>35</v>
      </c>
      <c r="E13" s="964" t="s">
        <v>35</v>
      </c>
      <c r="F13" s="964"/>
      <c r="G13" s="964" t="s">
        <v>36</v>
      </c>
      <c r="H13" s="964" t="s">
        <v>32</v>
      </c>
      <c r="I13" s="964"/>
      <c r="J13" s="964"/>
      <c r="K13" s="964"/>
      <c r="L13" s="964"/>
      <c r="M13" s="964"/>
      <c r="N13" s="964"/>
      <c r="O13" s="956"/>
      <c r="P13" s="959"/>
      <c r="Q13" s="956"/>
      <c r="R13" s="962"/>
      <c r="S13" s="976"/>
      <c r="T13" s="977"/>
      <c r="U13" s="971"/>
      <c r="V13" s="971"/>
      <c r="AA13" s="964"/>
      <c r="AB13" s="964"/>
      <c r="AC13" s="391"/>
    </row>
    <row r="14" spans="1:30" s="14" customFormat="1" ht="15.75" customHeight="1" x14ac:dyDescent="0.3">
      <c r="A14" s="54"/>
      <c r="B14" s="55"/>
      <c r="C14" s="56"/>
      <c r="D14" s="54"/>
      <c r="E14" s="54"/>
      <c r="F14" s="152"/>
      <c r="G14" s="56"/>
      <c r="H14" s="57"/>
      <c r="I14" s="232">
        <v>0.1</v>
      </c>
      <c r="J14" s="232">
        <v>0.30199999999999999</v>
      </c>
      <c r="K14" s="232">
        <v>2.4</v>
      </c>
      <c r="L14" s="57"/>
      <c r="M14" s="232">
        <v>0.01</v>
      </c>
      <c r="N14" s="57"/>
      <c r="O14" s="58"/>
      <c r="P14" s="241"/>
      <c r="Q14" s="57"/>
      <c r="R14" s="13"/>
      <c r="S14" s="233"/>
      <c r="T14" s="13"/>
      <c r="U14" s="13"/>
      <c r="V14" s="59"/>
      <c r="AA14" s="56"/>
      <c r="AB14" s="56"/>
      <c r="AC14" s="579"/>
    </row>
    <row r="15" spans="1:30" s="412" customFormat="1" ht="18" x14ac:dyDescent="0.35">
      <c r="A15" s="403" t="s">
        <v>37</v>
      </c>
      <c r="B15" s="404" t="s">
        <v>39</v>
      </c>
      <c r="C15" s="405" t="s">
        <v>40</v>
      </c>
      <c r="D15" s="406" t="s">
        <v>42</v>
      </c>
      <c r="E15" s="406" t="s">
        <v>42</v>
      </c>
      <c r="F15" s="407" t="e">
        <f>$F$20</f>
        <v>#REF!</v>
      </c>
      <c r="G15" s="407" t="e">
        <f>#REF!</f>
        <v>#REF!</v>
      </c>
      <c r="H15" s="407" t="e">
        <f t="shared" ref="H15:H29" si="0">F15*G15</f>
        <v>#REF!</v>
      </c>
      <c r="I15" s="407" t="e">
        <f>H15*$I$14</f>
        <v>#REF!</v>
      </c>
      <c r="J15" s="407" t="e">
        <f>H15*$J$14</f>
        <v>#REF!</v>
      </c>
      <c r="K15" s="407" t="e">
        <f>H15*$K$14</f>
        <v>#REF!</v>
      </c>
      <c r="L15" s="407" t="e">
        <f>SUM(H15:K15)</f>
        <v>#REF!</v>
      </c>
      <c r="M15" s="407" t="e">
        <f>L15*$M$14</f>
        <v>#REF!</v>
      </c>
      <c r="N15" s="407" t="e">
        <f>(L15+M15)*18%</f>
        <v>#REF!</v>
      </c>
      <c r="O15" s="407" t="e">
        <f>P15*12</f>
        <v>#REF!</v>
      </c>
      <c r="P15" s="407" t="e">
        <f>S15</f>
        <v>#REF!</v>
      </c>
      <c r="Q15" s="407" t="e">
        <f>L15+M15+N15</f>
        <v>#REF!</v>
      </c>
      <c r="R15" s="408"/>
      <c r="S15" s="409" t="e">
        <f>ROUND(Q15/12,1)</f>
        <v>#REF!</v>
      </c>
      <c r="T15" s="409" t="e">
        <f>S15*12</f>
        <v>#REF!</v>
      </c>
      <c r="U15" s="409">
        <f>'[9]Физлица (инд. дом) '!P15</f>
        <v>6.6</v>
      </c>
      <c r="V15" s="410" t="e">
        <f>P15/U15</f>
        <v>#REF!</v>
      </c>
      <c r="W15" s="411">
        <f>'[10]СВОД инд дома 2012 (физлица)'!E6</f>
        <v>9.1999999999999993</v>
      </c>
      <c r="X15" s="411" t="e">
        <f>P15/W15</f>
        <v>#REF!</v>
      </c>
      <c r="Y15" s="411" t="e">
        <f>B15=#REF!</f>
        <v>#REF!</v>
      </c>
      <c r="Z15" s="411"/>
      <c r="AA15" s="407" t="e">
        <f>#REF!</f>
        <v>#REF!</v>
      </c>
      <c r="AB15" s="407" t="e">
        <f>AA15/G15</f>
        <v>#REF!</v>
      </c>
      <c r="AC15" s="584" t="e">
        <f>AA15/$AA$36*$G$36</f>
        <v>#REF!</v>
      </c>
    </row>
    <row r="16" spans="1:30" ht="15.75" customHeight="1" outlineLevel="1" x14ac:dyDescent="0.35">
      <c r="A16" s="66" t="s">
        <v>43</v>
      </c>
      <c r="B16" s="67" t="s">
        <v>44</v>
      </c>
      <c r="C16" s="68" t="s">
        <v>45</v>
      </c>
      <c r="D16" s="15" t="s">
        <v>42</v>
      </c>
      <c r="E16" s="15" t="s">
        <v>42</v>
      </c>
      <c r="F16" s="24" t="e">
        <f>$F$20</f>
        <v>#REF!</v>
      </c>
      <c r="G16" s="407" t="e">
        <f>#REF!</f>
        <v>#REF!</v>
      </c>
      <c r="H16" s="17" t="e">
        <f t="shared" si="0"/>
        <v>#REF!</v>
      </c>
      <c r="I16" s="17" t="e">
        <f t="shared" ref="I16:I33" si="1">H16*$I$14</f>
        <v>#REF!</v>
      </c>
      <c r="J16" s="17" t="e">
        <f t="shared" ref="J16:J33" si="2">H16*$J$14</f>
        <v>#REF!</v>
      </c>
      <c r="K16" s="17" t="e">
        <f t="shared" ref="K16:K33" si="3">H16*$K$14</f>
        <v>#REF!</v>
      </c>
      <c r="L16" s="17" t="e">
        <f t="shared" ref="L16:L29" si="4">SUM(H16:K16)</f>
        <v>#REF!</v>
      </c>
      <c r="M16" s="17" t="e">
        <f t="shared" ref="M16:M33" si="5">L16*$M$14</f>
        <v>#REF!</v>
      </c>
      <c r="N16" s="17" t="e">
        <f t="shared" ref="N16:N29" si="6">(L16+M16)*18%</f>
        <v>#REF!</v>
      </c>
      <c r="O16" s="17" t="e">
        <f t="shared" ref="O16:O29" si="7">P16*12</f>
        <v>#REF!</v>
      </c>
      <c r="P16" s="242" t="e">
        <f t="shared" ref="P16:P29" si="8">S16</f>
        <v>#REF!</v>
      </c>
      <c r="Q16" s="17" t="e">
        <f t="shared" ref="Q16:Q28" si="9">L16+M16+N16</f>
        <v>#REF!</v>
      </c>
      <c r="R16" s="31"/>
      <c r="S16" s="21" t="e">
        <f>ROUNDDOWN(Q16/12,1)</f>
        <v>#REF!</v>
      </c>
      <c r="T16" s="21" t="e">
        <f t="shared" ref="T16:T29" si="10">S16*12</f>
        <v>#REF!</v>
      </c>
      <c r="U16" s="21">
        <f>'[9]Физлица (инд. дом) '!P16</f>
        <v>7.7</v>
      </c>
      <c r="V16" s="125" t="e">
        <f t="shared" ref="V16:V34" si="11">P16/U16</f>
        <v>#REF!</v>
      </c>
      <c r="W16" s="65">
        <f>'[10]СВОД инд дома 2012 (физлица)'!E7</f>
        <v>10.8</v>
      </c>
      <c r="X16" s="65" t="e">
        <f t="shared" ref="X16:X29" si="12">P16/W16</f>
        <v>#REF!</v>
      </c>
      <c r="Y16" s="65" t="e">
        <f>B16=#REF!</f>
        <v>#REF!</v>
      </c>
      <c r="Z16" s="65"/>
      <c r="AA16" s="24" t="e">
        <f>#REF!</f>
        <v>#REF!</v>
      </c>
      <c r="AB16" s="24" t="e">
        <f t="shared" ref="AB16:AB29" si="13">AA16/G16</f>
        <v>#REF!</v>
      </c>
      <c r="AC16" s="584" t="e">
        <f>AA16/$AA$36*$G$36</f>
        <v>#REF!</v>
      </c>
      <c r="AD16" s="412"/>
    </row>
    <row r="17" spans="1:34" s="412" customFormat="1" ht="18" x14ac:dyDescent="0.35">
      <c r="A17" s="413" t="s">
        <v>46</v>
      </c>
      <c r="B17" s="414" t="s">
        <v>47</v>
      </c>
      <c r="C17" s="415" t="s">
        <v>45</v>
      </c>
      <c r="D17" s="416" t="s">
        <v>42</v>
      </c>
      <c r="E17" s="416" t="s">
        <v>42</v>
      </c>
      <c r="F17" s="417" t="e">
        <f>$F$20</f>
        <v>#REF!</v>
      </c>
      <c r="G17" s="407" t="e">
        <f>#REF!</f>
        <v>#REF!</v>
      </c>
      <c r="H17" s="417" t="e">
        <f t="shared" si="0"/>
        <v>#REF!</v>
      </c>
      <c r="I17" s="417" t="e">
        <f t="shared" si="1"/>
        <v>#REF!</v>
      </c>
      <c r="J17" s="417" t="e">
        <f t="shared" si="2"/>
        <v>#REF!</v>
      </c>
      <c r="K17" s="417" t="e">
        <f t="shared" si="3"/>
        <v>#REF!</v>
      </c>
      <c r="L17" s="417" t="e">
        <f t="shared" si="4"/>
        <v>#REF!</v>
      </c>
      <c r="M17" s="417" t="e">
        <f>L17*$M$14</f>
        <v>#REF!</v>
      </c>
      <c r="N17" s="417" t="e">
        <f t="shared" si="6"/>
        <v>#REF!</v>
      </c>
      <c r="O17" s="417" t="e">
        <f t="shared" si="7"/>
        <v>#REF!</v>
      </c>
      <c r="P17" s="417" t="e">
        <f>S17</f>
        <v>#REF!</v>
      </c>
      <c r="Q17" s="417" t="e">
        <f t="shared" si="9"/>
        <v>#REF!</v>
      </c>
      <c r="R17" s="418" t="e">
        <f>F17*165</f>
        <v>#REF!</v>
      </c>
      <c r="S17" s="419" t="e">
        <f t="shared" ref="S17:S28" si="14">ROUNDDOWN(Q17/12,1)</f>
        <v>#REF!</v>
      </c>
      <c r="T17" s="419" t="e">
        <f t="shared" si="10"/>
        <v>#REF!</v>
      </c>
      <c r="U17" s="419">
        <f>'[9]Физлица (инд. дом) '!P17</f>
        <v>8.6999999999999993</v>
      </c>
      <c r="V17" s="420" t="e">
        <f t="shared" si="11"/>
        <v>#REF!</v>
      </c>
      <c r="W17" s="411">
        <f>'[10]СВОД инд дома 2012 (физлица)'!E8</f>
        <v>12.2</v>
      </c>
      <c r="X17" s="411" t="e">
        <f t="shared" si="12"/>
        <v>#REF!</v>
      </c>
      <c r="Y17" s="411" t="e">
        <f>B17=#REF!</f>
        <v>#REF!</v>
      </c>
      <c r="Z17" s="411"/>
      <c r="AA17" s="417" t="e">
        <f>#REF!</f>
        <v>#REF!</v>
      </c>
      <c r="AB17" s="417" t="e">
        <f t="shared" si="13"/>
        <v>#REF!</v>
      </c>
      <c r="AC17" s="584" t="e">
        <f t="shared" ref="AC17:AC27" si="15">AA17/$AA$36*$G$36</f>
        <v>#REF!</v>
      </c>
    </row>
    <row r="18" spans="1:34" s="28" customFormat="1" ht="31.5" customHeight="1" outlineLevel="1" x14ac:dyDescent="0.35">
      <c r="A18" s="69" t="s">
        <v>38</v>
      </c>
      <c r="B18" s="72" t="s">
        <v>48</v>
      </c>
      <c r="C18" s="71" t="s">
        <v>40</v>
      </c>
      <c r="D18" s="15" t="s">
        <v>42</v>
      </c>
      <c r="E18" s="22" t="s">
        <v>42</v>
      </c>
      <c r="F18" s="24" t="e">
        <f>$F$20</f>
        <v>#REF!</v>
      </c>
      <c r="G18" s="407" t="e">
        <f>#REF!</f>
        <v>#REF!</v>
      </c>
      <c r="H18" s="17" t="e">
        <f t="shared" si="0"/>
        <v>#REF!</v>
      </c>
      <c r="I18" s="17" t="e">
        <f t="shared" si="1"/>
        <v>#REF!</v>
      </c>
      <c r="J18" s="17" t="e">
        <f t="shared" si="2"/>
        <v>#REF!</v>
      </c>
      <c r="K18" s="17" t="e">
        <f t="shared" si="3"/>
        <v>#REF!</v>
      </c>
      <c r="L18" s="17" t="e">
        <f t="shared" si="4"/>
        <v>#REF!</v>
      </c>
      <c r="M18" s="17" t="e">
        <f t="shared" si="5"/>
        <v>#REF!</v>
      </c>
      <c r="N18" s="17" t="e">
        <f t="shared" si="6"/>
        <v>#REF!</v>
      </c>
      <c r="O18" s="17" t="e">
        <f t="shared" si="7"/>
        <v>#REF!</v>
      </c>
      <c r="P18" s="242" t="e">
        <f t="shared" si="8"/>
        <v>#REF!</v>
      </c>
      <c r="Q18" s="17" t="e">
        <f t="shared" si="9"/>
        <v>#REF!</v>
      </c>
      <c r="R18" s="29"/>
      <c r="S18" s="21" t="e">
        <f t="shared" si="14"/>
        <v>#REF!</v>
      </c>
      <c r="T18" s="27" t="e">
        <f t="shared" si="10"/>
        <v>#REF!</v>
      </c>
      <c r="U18" s="21">
        <f>'[9]Физлица (инд. дом) '!P18</f>
        <v>10.9</v>
      </c>
      <c r="V18" s="125" t="e">
        <f t="shared" si="11"/>
        <v>#REF!</v>
      </c>
      <c r="W18" s="65">
        <f>'[10]СВОД инд дома 2012 (физлица)'!E9</f>
        <v>15.3</v>
      </c>
      <c r="X18" s="65" t="e">
        <f t="shared" si="12"/>
        <v>#REF!</v>
      </c>
      <c r="Y18" s="65" t="e">
        <f>B18=#REF!</f>
        <v>#REF!</v>
      </c>
      <c r="Z18" s="65"/>
      <c r="AA18" s="24" t="e">
        <f>#REF!*1.25</f>
        <v>#REF!</v>
      </c>
      <c r="AB18" s="24" t="e">
        <f t="shared" si="13"/>
        <v>#REF!</v>
      </c>
      <c r="AC18" s="584" t="e">
        <f t="shared" si="15"/>
        <v>#REF!</v>
      </c>
      <c r="AD18" s="412"/>
    </row>
    <row r="19" spans="1:34" ht="15.75" customHeight="1" outlineLevel="1" x14ac:dyDescent="0.35">
      <c r="A19" s="66" t="s">
        <v>49</v>
      </c>
      <c r="B19" s="67" t="s">
        <v>50</v>
      </c>
      <c r="C19" s="68" t="s">
        <v>45</v>
      </c>
      <c r="D19" s="15" t="s">
        <v>42</v>
      </c>
      <c r="E19" s="15" t="s">
        <v>42</v>
      </c>
      <c r="F19" s="24" t="e">
        <f>$F$20</f>
        <v>#REF!</v>
      </c>
      <c r="G19" s="407" t="e">
        <f>#REF!</f>
        <v>#REF!</v>
      </c>
      <c r="H19" s="17" t="e">
        <f t="shared" si="0"/>
        <v>#REF!</v>
      </c>
      <c r="I19" s="17" t="e">
        <f t="shared" si="1"/>
        <v>#REF!</v>
      </c>
      <c r="J19" s="17" t="e">
        <f t="shared" si="2"/>
        <v>#REF!</v>
      </c>
      <c r="K19" s="17" t="e">
        <f>H19*$K$14</f>
        <v>#REF!</v>
      </c>
      <c r="L19" s="17" t="e">
        <f t="shared" si="4"/>
        <v>#REF!</v>
      </c>
      <c r="M19" s="17" t="e">
        <f t="shared" si="5"/>
        <v>#REF!</v>
      </c>
      <c r="N19" s="17" t="e">
        <f t="shared" si="6"/>
        <v>#REF!</v>
      </c>
      <c r="O19" s="17" t="e">
        <f t="shared" si="7"/>
        <v>#REF!</v>
      </c>
      <c r="P19" s="242" t="e">
        <f>S19</f>
        <v>#REF!</v>
      </c>
      <c r="Q19" s="17" t="e">
        <f t="shared" si="9"/>
        <v>#REF!</v>
      </c>
      <c r="R19" s="29"/>
      <c r="S19" s="21" t="e">
        <f t="shared" si="14"/>
        <v>#REF!</v>
      </c>
      <c r="T19" s="27" t="e">
        <f t="shared" si="10"/>
        <v>#REF!</v>
      </c>
      <c r="U19" s="21">
        <f>'[9]Физлица (инд. дом) '!P19</f>
        <v>4</v>
      </c>
      <c r="V19" s="125" t="e">
        <f t="shared" si="11"/>
        <v>#REF!</v>
      </c>
      <c r="W19" s="65">
        <f>'[10]СВОД инд дома 2012 (физлица)'!E10</f>
        <v>5.6</v>
      </c>
      <c r="X19" s="65" t="e">
        <f t="shared" si="12"/>
        <v>#REF!</v>
      </c>
      <c r="Y19" s="65" t="e">
        <f>B19=#REF!</f>
        <v>#REF!</v>
      </c>
      <c r="Z19" s="65"/>
      <c r="AA19" s="24" t="e">
        <f>#REF!</f>
        <v>#REF!</v>
      </c>
      <c r="AB19" s="24" t="e">
        <f t="shared" si="13"/>
        <v>#REF!</v>
      </c>
      <c r="AC19" s="584" t="e">
        <f t="shared" si="15"/>
        <v>#REF!</v>
      </c>
      <c r="AD19" s="412"/>
    </row>
    <row r="20" spans="1:34" ht="16.5" customHeight="1" outlineLevel="1" x14ac:dyDescent="0.35">
      <c r="A20" s="66" t="s">
        <v>51</v>
      </c>
      <c r="B20" s="72" t="s">
        <v>52</v>
      </c>
      <c r="C20" s="71" t="s">
        <v>53</v>
      </c>
      <c r="D20" s="22" t="s">
        <v>42</v>
      </c>
      <c r="E20" s="22" t="s">
        <v>54</v>
      </c>
      <c r="F20" s="23" t="e">
        <f>#REF!*1.7</f>
        <v>#REF!</v>
      </c>
      <c r="G20" s="407" t="e">
        <f>#REF!</f>
        <v>#REF!</v>
      </c>
      <c r="H20" s="17" t="e">
        <f t="shared" si="0"/>
        <v>#REF!</v>
      </c>
      <c r="I20" s="17" t="e">
        <f t="shared" si="1"/>
        <v>#REF!</v>
      </c>
      <c r="J20" s="17" t="e">
        <f>H20*$J$14</f>
        <v>#REF!</v>
      </c>
      <c r="K20" s="17" t="e">
        <f t="shared" si="3"/>
        <v>#REF!</v>
      </c>
      <c r="L20" s="17" t="e">
        <f t="shared" si="4"/>
        <v>#REF!</v>
      </c>
      <c r="M20" s="17" t="e">
        <f t="shared" si="5"/>
        <v>#REF!</v>
      </c>
      <c r="N20" s="17" t="e">
        <f t="shared" si="6"/>
        <v>#REF!</v>
      </c>
      <c r="O20" s="17" t="e">
        <f t="shared" si="7"/>
        <v>#REF!</v>
      </c>
      <c r="P20" s="242" t="e">
        <f>S20</f>
        <v>#REF!</v>
      </c>
      <c r="Q20" s="17" t="e">
        <f t="shared" si="9"/>
        <v>#REF!</v>
      </c>
      <c r="R20" s="25" t="e">
        <f>F20*165</f>
        <v>#REF!</v>
      </c>
      <c r="S20" s="21" t="e">
        <f t="shared" si="14"/>
        <v>#REF!</v>
      </c>
      <c r="T20" s="27" t="e">
        <f t="shared" si="10"/>
        <v>#REF!</v>
      </c>
      <c r="U20" s="21">
        <f>'[9]Физлица (инд. дом) '!P20</f>
        <v>14.9</v>
      </c>
      <c r="V20" s="125" t="e">
        <f t="shared" si="11"/>
        <v>#REF!</v>
      </c>
      <c r="W20" s="65">
        <f>'[10]СВОД инд дома 2012 (физлица)'!E11</f>
        <v>20.9</v>
      </c>
      <c r="X20" s="65" t="e">
        <f t="shared" si="12"/>
        <v>#REF!</v>
      </c>
      <c r="Y20" s="65" t="e">
        <f>B20=#REF!</f>
        <v>#REF!</v>
      </c>
      <c r="Z20" s="65"/>
      <c r="AA20" s="24" t="e">
        <f>#REF!</f>
        <v>#REF!</v>
      </c>
      <c r="AB20" s="24" t="e">
        <f t="shared" si="13"/>
        <v>#REF!</v>
      </c>
      <c r="AC20" s="584" t="e">
        <f t="shared" si="15"/>
        <v>#REF!</v>
      </c>
      <c r="AD20" s="412"/>
    </row>
    <row r="21" spans="1:34" ht="15.75" customHeight="1" outlineLevel="1" x14ac:dyDescent="0.35">
      <c r="A21" s="66" t="s">
        <v>55</v>
      </c>
      <c r="B21" s="67" t="s">
        <v>56</v>
      </c>
      <c r="C21" s="68" t="s">
        <v>45</v>
      </c>
      <c r="D21" s="15" t="s">
        <v>42</v>
      </c>
      <c r="E21" s="15" t="s">
        <v>42</v>
      </c>
      <c r="F21" s="24" t="e">
        <f>$F$20</f>
        <v>#REF!</v>
      </c>
      <c r="G21" s="407" t="e">
        <f>#REF!</f>
        <v>#REF!</v>
      </c>
      <c r="H21" s="17" t="e">
        <f t="shared" si="0"/>
        <v>#REF!</v>
      </c>
      <c r="I21" s="17" t="e">
        <f t="shared" si="1"/>
        <v>#REF!</v>
      </c>
      <c r="J21" s="17" t="e">
        <f t="shared" si="2"/>
        <v>#REF!</v>
      </c>
      <c r="K21" s="17" t="e">
        <f t="shared" si="3"/>
        <v>#REF!</v>
      </c>
      <c r="L21" s="17" t="e">
        <f t="shared" si="4"/>
        <v>#REF!</v>
      </c>
      <c r="M21" s="17" t="e">
        <f>L21*$M$14</f>
        <v>#REF!</v>
      </c>
      <c r="N21" s="17" t="e">
        <f t="shared" si="6"/>
        <v>#REF!</v>
      </c>
      <c r="O21" s="17" t="e">
        <f t="shared" si="7"/>
        <v>#REF!</v>
      </c>
      <c r="P21" s="242" t="e">
        <f t="shared" si="8"/>
        <v>#REF!</v>
      </c>
      <c r="Q21" s="17" t="e">
        <f t="shared" si="9"/>
        <v>#REF!</v>
      </c>
      <c r="R21" s="73"/>
      <c r="S21" s="21" t="e">
        <f t="shared" si="14"/>
        <v>#REF!</v>
      </c>
      <c r="T21" s="27" t="e">
        <f t="shared" si="10"/>
        <v>#REF!</v>
      </c>
      <c r="U21" s="21">
        <f>'[9]Физлица (инд. дом) '!P21</f>
        <v>9.6</v>
      </c>
      <c r="V21" s="125" t="e">
        <f t="shared" si="11"/>
        <v>#REF!</v>
      </c>
      <c r="W21" s="65">
        <f>'[10]СВОД инд дома 2012 (физлица)'!E12</f>
        <v>13.4</v>
      </c>
      <c r="X21" s="65" t="e">
        <f t="shared" si="12"/>
        <v>#REF!</v>
      </c>
      <c r="Y21" s="65" t="e">
        <f>B21=#REF!</f>
        <v>#REF!</v>
      </c>
      <c r="Z21" s="65"/>
      <c r="AA21" s="24" t="e">
        <f>#REF!</f>
        <v>#REF!</v>
      </c>
      <c r="AB21" s="24" t="e">
        <f t="shared" si="13"/>
        <v>#REF!</v>
      </c>
      <c r="AC21" s="584" t="e">
        <f t="shared" si="15"/>
        <v>#REF!</v>
      </c>
      <c r="AD21" s="412"/>
    </row>
    <row r="22" spans="1:34" ht="15.75" customHeight="1" outlineLevel="1" x14ac:dyDescent="0.35">
      <c r="A22" s="66" t="s">
        <v>57</v>
      </c>
      <c r="B22" s="74" t="s">
        <v>58</v>
      </c>
      <c r="C22" s="68" t="s">
        <v>45</v>
      </c>
      <c r="D22" s="15" t="s">
        <v>42</v>
      </c>
      <c r="E22" s="15" t="s">
        <v>54</v>
      </c>
      <c r="F22" s="24" t="e">
        <f>$F$20</f>
        <v>#REF!</v>
      </c>
      <c r="G22" s="407" t="e">
        <f>#REF!</f>
        <v>#REF!</v>
      </c>
      <c r="H22" s="17" t="e">
        <f t="shared" si="0"/>
        <v>#REF!</v>
      </c>
      <c r="I22" s="17" t="e">
        <f t="shared" si="1"/>
        <v>#REF!</v>
      </c>
      <c r="J22" s="17" t="e">
        <f t="shared" si="2"/>
        <v>#REF!</v>
      </c>
      <c r="K22" s="17" t="e">
        <f t="shared" si="3"/>
        <v>#REF!</v>
      </c>
      <c r="L22" s="17" t="e">
        <f t="shared" si="4"/>
        <v>#REF!</v>
      </c>
      <c r="M22" s="17" t="e">
        <f t="shared" si="5"/>
        <v>#REF!</v>
      </c>
      <c r="N22" s="17" t="e">
        <f t="shared" si="6"/>
        <v>#REF!</v>
      </c>
      <c r="O22" s="17" t="e">
        <f t="shared" si="7"/>
        <v>#REF!</v>
      </c>
      <c r="P22" s="242" t="e">
        <f t="shared" si="8"/>
        <v>#REF!</v>
      </c>
      <c r="Q22" s="17" t="e">
        <f t="shared" si="9"/>
        <v>#REF!</v>
      </c>
      <c r="R22" s="31"/>
      <c r="S22" s="21" t="e">
        <f t="shared" si="14"/>
        <v>#REF!</v>
      </c>
      <c r="T22" s="21" t="e">
        <f t="shared" si="10"/>
        <v>#REF!</v>
      </c>
      <c r="U22" s="21">
        <f>'[9]Физлица (инд. дом) '!P22</f>
        <v>19.899999999999999</v>
      </c>
      <c r="V22" s="125" t="e">
        <f t="shared" si="11"/>
        <v>#REF!</v>
      </c>
      <c r="W22" s="65">
        <f>'[10]СВОД инд дома 2012 (физлица)'!E13</f>
        <v>27.9</v>
      </c>
      <c r="X22" s="65" t="e">
        <f t="shared" si="12"/>
        <v>#REF!</v>
      </c>
      <c r="Y22" s="65" t="e">
        <f>B22=#REF!</f>
        <v>#REF!</v>
      </c>
      <c r="Z22" s="65"/>
      <c r="AA22" s="24" t="e">
        <f>#REF!</f>
        <v>#REF!</v>
      </c>
      <c r="AB22" s="24" t="e">
        <f t="shared" si="13"/>
        <v>#REF!</v>
      </c>
      <c r="AC22" s="584" t="e">
        <f t="shared" si="15"/>
        <v>#REF!</v>
      </c>
      <c r="AD22" s="412"/>
    </row>
    <row r="23" spans="1:34" ht="15.75" customHeight="1" outlineLevel="1" x14ac:dyDescent="0.35">
      <c r="A23" s="66" t="s">
        <v>59</v>
      </c>
      <c r="B23" s="74" t="s">
        <v>60</v>
      </c>
      <c r="C23" s="68" t="s">
        <v>45</v>
      </c>
      <c r="D23" s="15" t="s">
        <v>42</v>
      </c>
      <c r="E23" s="15" t="s">
        <v>54</v>
      </c>
      <c r="F23" s="24" t="e">
        <f>$F$20</f>
        <v>#REF!</v>
      </c>
      <c r="G23" s="407" t="e">
        <f>#REF!</f>
        <v>#REF!</v>
      </c>
      <c r="H23" s="17" t="e">
        <f t="shared" si="0"/>
        <v>#REF!</v>
      </c>
      <c r="I23" s="17" t="e">
        <f t="shared" si="1"/>
        <v>#REF!</v>
      </c>
      <c r="J23" s="17" t="e">
        <f t="shared" si="2"/>
        <v>#REF!</v>
      </c>
      <c r="K23" s="17" t="e">
        <f t="shared" si="3"/>
        <v>#REF!</v>
      </c>
      <c r="L23" s="17" t="e">
        <f t="shared" si="4"/>
        <v>#REF!</v>
      </c>
      <c r="M23" s="17" t="e">
        <f t="shared" si="5"/>
        <v>#REF!</v>
      </c>
      <c r="N23" s="17" t="e">
        <f t="shared" si="6"/>
        <v>#REF!</v>
      </c>
      <c r="O23" s="17" t="e">
        <f t="shared" si="7"/>
        <v>#REF!</v>
      </c>
      <c r="P23" s="242" t="e">
        <f>S23</f>
        <v>#REF!</v>
      </c>
      <c r="Q23" s="17" t="e">
        <f t="shared" si="9"/>
        <v>#REF!</v>
      </c>
      <c r="R23" s="31"/>
      <c r="S23" s="21" t="e">
        <f t="shared" si="14"/>
        <v>#REF!</v>
      </c>
      <c r="T23" s="21" t="e">
        <f t="shared" si="10"/>
        <v>#REF!</v>
      </c>
      <c r="U23" s="21">
        <f>'[9]Физлица (инд. дом) '!P23</f>
        <v>38.6</v>
      </c>
      <c r="V23" s="125" t="e">
        <f t="shared" si="11"/>
        <v>#REF!</v>
      </c>
      <c r="W23" s="65">
        <f>'[10]СВОД инд дома 2012 (физлица)'!E14</f>
        <v>54</v>
      </c>
      <c r="X23" s="65" t="e">
        <f t="shared" si="12"/>
        <v>#REF!</v>
      </c>
      <c r="Y23" s="65" t="e">
        <f>B23=#REF!</f>
        <v>#REF!</v>
      </c>
      <c r="Z23" s="65"/>
      <c r="AA23" s="24" t="e">
        <f>#REF!</f>
        <v>#REF!</v>
      </c>
      <c r="AB23" s="24" t="e">
        <f t="shared" si="13"/>
        <v>#REF!</v>
      </c>
      <c r="AC23" s="584" t="e">
        <f t="shared" si="15"/>
        <v>#REF!</v>
      </c>
      <c r="AD23" s="412"/>
    </row>
    <row r="24" spans="1:34" s="26" customFormat="1" ht="31.5" customHeight="1" outlineLevel="1" x14ac:dyDescent="0.35">
      <c r="A24" s="69" t="s">
        <v>61</v>
      </c>
      <c r="B24" s="72" t="s">
        <v>62</v>
      </c>
      <c r="C24" s="71" t="str">
        <f>C23</f>
        <v>"</v>
      </c>
      <c r="D24" s="15" t="s">
        <v>42</v>
      </c>
      <c r="E24" s="22" t="s">
        <v>54</v>
      </c>
      <c r="F24" s="23" t="e">
        <f>#REF!</f>
        <v>#REF!</v>
      </c>
      <c r="G24" s="407" t="e">
        <f>#REF!</f>
        <v>#REF!</v>
      </c>
      <c r="H24" s="24" t="e">
        <f t="shared" si="0"/>
        <v>#REF!</v>
      </c>
      <c r="I24" s="17" t="e">
        <f t="shared" si="1"/>
        <v>#REF!</v>
      </c>
      <c r="J24" s="17" t="e">
        <f t="shared" si="2"/>
        <v>#REF!</v>
      </c>
      <c r="K24" s="17" t="e">
        <f t="shared" si="3"/>
        <v>#REF!</v>
      </c>
      <c r="L24" s="17" t="e">
        <f t="shared" si="4"/>
        <v>#REF!</v>
      </c>
      <c r="M24" s="17" t="e">
        <f t="shared" si="5"/>
        <v>#REF!</v>
      </c>
      <c r="N24" s="17" t="e">
        <f t="shared" si="6"/>
        <v>#REF!</v>
      </c>
      <c r="O24" s="17" t="e">
        <f t="shared" si="7"/>
        <v>#REF!</v>
      </c>
      <c r="P24" s="242" t="e">
        <f t="shared" si="8"/>
        <v>#REF!</v>
      </c>
      <c r="Q24" s="17" t="e">
        <f t="shared" si="9"/>
        <v>#REF!</v>
      </c>
      <c r="R24" s="25" t="e">
        <f>F24*165</f>
        <v>#REF!</v>
      </c>
      <c r="S24" s="21" t="e">
        <f t="shared" si="14"/>
        <v>#REF!</v>
      </c>
      <c r="T24" s="21" t="e">
        <f t="shared" si="10"/>
        <v>#REF!</v>
      </c>
      <c r="U24" s="21">
        <f>'[9]Физлица (инд. дом) '!P24</f>
        <v>58.6</v>
      </c>
      <c r="V24" s="125" t="e">
        <f t="shared" si="11"/>
        <v>#REF!</v>
      </c>
      <c r="W24" s="65">
        <f>'[10]СВОД инд дома 2012 (физлица)'!E15</f>
        <v>82</v>
      </c>
      <c r="X24" s="65" t="e">
        <f t="shared" si="12"/>
        <v>#REF!</v>
      </c>
      <c r="Y24" s="65" t="e">
        <f>B24=#REF!</f>
        <v>#REF!</v>
      </c>
      <c r="Z24" s="65"/>
      <c r="AA24" s="24">
        <v>3.64</v>
      </c>
      <c r="AB24" s="24" t="e">
        <f t="shared" si="13"/>
        <v>#REF!</v>
      </c>
      <c r="AC24" s="584" t="e">
        <f t="shared" si="15"/>
        <v>#REF!</v>
      </c>
      <c r="AD24" s="412"/>
    </row>
    <row r="25" spans="1:34" ht="15.75" customHeight="1" outlineLevel="1" x14ac:dyDescent="0.35">
      <c r="A25" s="66" t="s">
        <v>63</v>
      </c>
      <c r="B25" s="67" t="s">
        <v>64</v>
      </c>
      <c r="C25" s="68" t="s">
        <v>65</v>
      </c>
      <c r="D25" s="15" t="s">
        <v>42</v>
      </c>
      <c r="E25" s="15" t="s">
        <v>42</v>
      </c>
      <c r="F25" s="24" t="e">
        <f>$F$20</f>
        <v>#REF!</v>
      </c>
      <c r="G25" s="407" t="e">
        <f>#REF!</f>
        <v>#REF!</v>
      </c>
      <c r="H25" s="17" t="e">
        <f t="shared" si="0"/>
        <v>#REF!</v>
      </c>
      <c r="I25" s="17" t="e">
        <f t="shared" si="1"/>
        <v>#REF!</v>
      </c>
      <c r="J25" s="17" t="e">
        <f t="shared" si="2"/>
        <v>#REF!</v>
      </c>
      <c r="K25" s="17" t="e">
        <f t="shared" si="3"/>
        <v>#REF!</v>
      </c>
      <c r="L25" s="17" t="e">
        <f t="shared" si="4"/>
        <v>#REF!</v>
      </c>
      <c r="M25" s="17" t="e">
        <f t="shared" si="5"/>
        <v>#REF!</v>
      </c>
      <c r="N25" s="17" t="e">
        <f t="shared" si="6"/>
        <v>#REF!</v>
      </c>
      <c r="O25" s="17" t="e">
        <f t="shared" si="7"/>
        <v>#REF!</v>
      </c>
      <c r="P25" s="242" t="e">
        <f t="shared" si="8"/>
        <v>#REF!</v>
      </c>
      <c r="Q25" s="17" t="e">
        <f t="shared" si="9"/>
        <v>#REF!</v>
      </c>
      <c r="R25" s="31"/>
      <c r="S25" s="21" t="e">
        <f t="shared" si="14"/>
        <v>#REF!</v>
      </c>
      <c r="T25" s="21" t="e">
        <f t="shared" si="10"/>
        <v>#REF!</v>
      </c>
      <c r="U25" s="21">
        <f>'[9]Физлица (инд. дом) '!P25</f>
        <v>9.1</v>
      </c>
      <c r="V25" s="125" t="e">
        <f t="shared" si="11"/>
        <v>#REF!</v>
      </c>
      <c r="W25" s="65">
        <f>'[10]СВОД инд дома 2012 (физлица)'!E16</f>
        <v>12.7</v>
      </c>
      <c r="X25" s="65" t="e">
        <f t="shared" si="12"/>
        <v>#REF!</v>
      </c>
      <c r="Y25" s="65" t="e">
        <f>B25=#REF!</f>
        <v>#REF!</v>
      </c>
      <c r="Z25" s="65"/>
      <c r="AA25" s="24" t="e">
        <f>#REF!</f>
        <v>#REF!</v>
      </c>
      <c r="AB25" s="24" t="e">
        <f t="shared" si="13"/>
        <v>#REF!</v>
      </c>
      <c r="AC25" s="584" t="e">
        <f t="shared" si="15"/>
        <v>#REF!</v>
      </c>
      <c r="AD25" s="412"/>
    </row>
    <row r="26" spans="1:34" s="401" customFormat="1" ht="15.75" customHeight="1" x14ac:dyDescent="0.35">
      <c r="A26" s="392" t="s">
        <v>66</v>
      </c>
      <c r="B26" s="402" t="s">
        <v>67</v>
      </c>
      <c r="C26" s="394" t="s">
        <v>45</v>
      </c>
      <c r="D26" s="395" t="s">
        <v>42</v>
      </c>
      <c r="E26" s="395" t="s">
        <v>54</v>
      </c>
      <c r="F26" s="396" t="e">
        <f>$F$20</f>
        <v>#REF!</v>
      </c>
      <c r="G26" s="407" t="e">
        <f>#REF!</f>
        <v>#REF!</v>
      </c>
      <c r="H26" s="396" t="e">
        <f t="shared" si="0"/>
        <v>#REF!</v>
      </c>
      <c r="I26" s="396" t="e">
        <f t="shared" si="1"/>
        <v>#REF!</v>
      </c>
      <c r="J26" s="396" t="e">
        <f t="shared" si="2"/>
        <v>#REF!</v>
      </c>
      <c r="K26" s="396" t="e">
        <f t="shared" si="3"/>
        <v>#REF!</v>
      </c>
      <c r="L26" s="396" t="e">
        <f t="shared" si="4"/>
        <v>#REF!</v>
      </c>
      <c r="M26" s="396" t="e">
        <f t="shared" si="5"/>
        <v>#REF!</v>
      </c>
      <c r="N26" s="396" t="e">
        <f t="shared" si="6"/>
        <v>#REF!</v>
      </c>
      <c r="O26" s="396" t="e">
        <f t="shared" si="7"/>
        <v>#REF!</v>
      </c>
      <c r="P26" s="396" t="e">
        <f t="shared" si="8"/>
        <v>#REF!</v>
      </c>
      <c r="Q26" s="396" t="e">
        <f t="shared" si="9"/>
        <v>#REF!</v>
      </c>
      <c r="R26" s="397"/>
      <c r="S26" s="398" t="e">
        <f t="shared" si="14"/>
        <v>#REF!</v>
      </c>
      <c r="T26" s="398" t="e">
        <f t="shared" si="10"/>
        <v>#REF!</v>
      </c>
      <c r="U26" s="398">
        <f>'[9]Физлица (инд. дом) '!P26</f>
        <v>8</v>
      </c>
      <c r="V26" s="399" t="e">
        <f t="shared" si="11"/>
        <v>#REF!</v>
      </c>
      <c r="W26" s="400">
        <f>'[10]СВОД инд дома 2012 (физлица)'!E17</f>
        <v>11.2</v>
      </c>
      <c r="X26" s="400" t="e">
        <f t="shared" si="12"/>
        <v>#REF!</v>
      </c>
      <c r="Y26" s="400" t="e">
        <f>B26=#REF!</f>
        <v>#REF!</v>
      </c>
      <c r="Z26" s="400"/>
      <c r="AA26" s="396" t="e">
        <f>#REF!</f>
        <v>#REF!</v>
      </c>
      <c r="AB26" s="396" t="e">
        <f t="shared" si="13"/>
        <v>#REF!</v>
      </c>
      <c r="AC26" s="584" t="e">
        <f t="shared" si="15"/>
        <v>#REF!</v>
      </c>
      <c r="AD26" s="412"/>
    </row>
    <row r="27" spans="1:34" s="401" customFormat="1" ht="18" x14ac:dyDescent="0.35">
      <c r="A27" s="392" t="s">
        <v>68</v>
      </c>
      <c r="B27" s="393" t="s">
        <v>69</v>
      </c>
      <c r="C27" s="394" t="s">
        <v>70</v>
      </c>
      <c r="D27" s="395" t="s">
        <v>42</v>
      </c>
      <c r="E27" s="395" t="s">
        <v>54</v>
      </c>
      <c r="F27" s="396" t="e">
        <f>$F$20</f>
        <v>#REF!</v>
      </c>
      <c r="G27" s="407" t="e">
        <f>#REF!</f>
        <v>#REF!</v>
      </c>
      <c r="H27" s="396" t="e">
        <f t="shared" si="0"/>
        <v>#REF!</v>
      </c>
      <c r="I27" s="396" t="e">
        <f t="shared" si="1"/>
        <v>#REF!</v>
      </c>
      <c r="J27" s="396" t="e">
        <f t="shared" si="2"/>
        <v>#REF!</v>
      </c>
      <c r="K27" s="396" t="e">
        <f t="shared" si="3"/>
        <v>#REF!</v>
      </c>
      <c r="L27" s="396" t="e">
        <f t="shared" si="4"/>
        <v>#REF!</v>
      </c>
      <c r="M27" s="396" t="e">
        <f>L27*$M$14</f>
        <v>#REF!</v>
      </c>
      <c r="N27" s="396" t="e">
        <f t="shared" si="6"/>
        <v>#REF!</v>
      </c>
      <c r="O27" s="396" t="e">
        <f t="shared" si="7"/>
        <v>#REF!</v>
      </c>
      <c r="P27" s="396" t="e">
        <f>S27</f>
        <v>#REF!</v>
      </c>
      <c r="Q27" s="396" t="e">
        <f t="shared" si="9"/>
        <v>#REF!</v>
      </c>
      <c r="R27" s="397"/>
      <c r="S27" s="398" t="e">
        <f t="shared" si="14"/>
        <v>#REF!</v>
      </c>
      <c r="T27" s="398" t="e">
        <f t="shared" si="10"/>
        <v>#REF!</v>
      </c>
      <c r="U27" s="398">
        <f>'[9]Физлица (инд. дом) '!P27</f>
        <v>4.8</v>
      </c>
      <c r="V27" s="399" t="e">
        <f t="shared" si="11"/>
        <v>#REF!</v>
      </c>
      <c r="W27" s="400">
        <f>'[10]СВОД инд дома 2012 (физлица)'!E18</f>
        <v>6.7</v>
      </c>
      <c r="X27" s="400" t="e">
        <f t="shared" si="12"/>
        <v>#REF!</v>
      </c>
      <c r="Y27" s="400" t="e">
        <f>B27=#REF!</f>
        <v>#REF!</v>
      </c>
      <c r="Z27" s="400"/>
      <c r="AA27" s="396" t="e">
        <f>#REF!</f>
        <v>#REF!</v>
      </c>
      <c r="AB27" s="396" t="e">
        <f t="shared" si="13"/>
        <v>#REF!</v>
      </c>
      <c r="AC27" s="584" t="e">
        <f t="shared" si="15"/>
        <v>#REF!</v>
      </c>
      <c r="AD27" s="412"/>
    </row>
    <row r="28" spans="1:34" ht="31.5" customHeight="1" outlineLevel="1" x14ac:dyDescent="0.3">
      <c r="A28" s="66" t="s">
        <v>71</v>
      </c>
      <c r="B28" s="74" t="s">
        <v>85</v>
      </c>
      <c r="C28" s="68" t="s">
        <v>86</v>
      </c>
      <c r="D28" s="15" t="s">
        <v>42</v>
      </c>
      <c r="E28" s="15" t="s">
        <v>54</v>
      </c>
      <c r="F28" s="24" t="e">
        <f>$F$20</f>
        <v>#REF!</v>
      </c>
      <c r="G28" s="24">
        <v>1.44</v>
      </c>
      <c r="H28" s="17" t="e">
        <f t="shared" si="0"/>
        <v>#REF!</v>
      </c>
      <c r="I28" s="17" t="e">
        <f t="shared" si="1"/>
        <v>#REF!</v>
      </c>
      <c r="J28" s="17" t="e">
        <f t="shared" si="2"/>
        <v>#REF!</v>
      </c>
      <c r="K28" s="17" t="e">
        <f t="shared" si="3"/>
        <v>#REF!</v>
      </c>
      <c r="L28" s="17" t="e">
        <f t="shared" si="4"/>
        <v>#REF!</v>
      </c>
      <c r="M28" s="17" t="e">
        <f t="shared" si="5"/>
        <v>#REF!</v>
      </c>
      <c r="N28" s="17" t="e">
        <f t="shared" si="6"/>
        <v>#REF!</v>
      </c>
      <c r="O28" s="17" t="e">
        <f t="shared" si="7"/>
        <v>#REF!</v>
      </c>
      <c r="P28" s="242" t="e">
        <f t="shared" si="8"/>
        <v>#REF!</v>
      </c>
      <c r="Q28" s="17" t="e">
        <f t="shared" si="9"/>
        <v>#REF!</v>
      </c>
      <c r="R28" s="31"/>
      <c r="S28" s="21" t="e">
        <f t="shared" si="14"/>
        <v>#REF!</v>
      </c>
      <c r="T28" s="21" t="e">
        <f t="shared" si="10"/>
        <v>#REF!</v>
      </c>
      <c r="U28" s="21">
        <f>'[9]Физлица (инд. дом) '!P28</f>
        <v>23.2</v>
      </c>
      <c r="V28" s="125" t="e">
        <f t="shared" si="11"/>
        <v>#REF!</v>
      </c>
      <c r="W28" s="65">
        <f>'[10]СВОД инд дома 2012 (физлица)'!$E$23</f>
        <v>32.5</v>
      </c>
      <c r="X28" s="65" t="e">
        <f t="shared" si="12"/>
        <v>#REF!</v>
      </c>
      <c r="Y28" s="65" t="e">
        <f>B28=#REF!</f>
        <v>#REF!</v>
      </c>
      <c r="Z28" s="65"/>
      <c r="AA28" s="24" t="e">
        <f>#REF!</f>
        <v>#REF!</v>
      </c>
      <c r="AB28" s="24" t="e">
        <f t="shared" si="13"/>
        <v>#REF!</v>
      </c>
      <c r="AC28" s="46"/>
      <c r="AD28" s="412" t="e">
        <f>AA28*AB49</f>
        <v>#REF!</v>
      </c>
    </row>
    <row r="29" spans="1:34" s="386" customFormat="1" ht="46.8" x14ac:dyDescent="0.3">
      <c r="A29" s="377" t="s">
        <v>74</v>
      </c>
      <c r="B29" s="378" t="s">
        <v>87</v>
      </c>
      <c r="C29" s="379" t="s">
        <v>88</v>
      </c>
      <c r="D29" s="380" t="s">
        <v>42</v>
      </c>
      <c r="E29" s="380" t="s">
        <v>54</v>
      </c>
      <c r="F29" s="381" t="e">
        <f>$F$20</f>
        <v>#REF!</v>
      </c>
      <c r="G29" s="381">
        <v>0.39</v>
      </c>
      <c r="H29" s="381" t="e">
        <f t="shared" si="0"/>
        <v>#REF!</v>
      </c>
      <c r="I29" s="381" t="e">
        <f t="shared" si="1"/>
        <v>#REF!</v>
      </c>
      <c r="J29" s="381" t="e">
        <f t="shared" si="2"/>
        <v>#REF!</v>
      </c>
      <c r="K29" s="381" t="e">
        <f t="shared" si="3"/>
        <v>#REF!</v>
      </c>
      <c r="L29" s="381" t="e">
        <f t="shared" si="4"/>
        <v>#REF!</v>
      </c>
      <c r="M29" s="381" t="e">
        <f t="shared" si="5"/>
        <v>#REF!</v>
      </c>
      <c r="N29" s="381" t="e">
        <f t="shared" si="6"/>
        <v>#REF!</v>
      </c>
      <c r="O29" s="381" t="e">
        <f t="shared" si="7"/>
        <v>#REF!</v>
      </c>
      <c r="P29" s="381" t="e">
        <f t="shared" si="8"/>
        <v>#REF!</v>
      </c>
      <c r="Q29" s="381" t="e">
        <f>L29+M29+N29</f>
        <v>#REF!</v>
      </c>
      <c r="R29" s="382"/>
      <c r="S29" s="383" t="e">
        <f>ROUNDDOWN(Q29/12,1)</f>
        <v>#REF!</v>
      </c>
      <c r="T29" s="383" t="e">
        <f t="shared" si="10"/>
        <v>#REF!</v>
      </c>
      <c r="U29" s="383">
        <f>'[9]Физлица (инд. дом) '!P29</f>
        <v>8.3000000000000007</v>
      </c>
      <c r="V29" s="384" t="e">
        <f t="shared" si="11"/>
        <v>#REF!</v>
      </c>
      <c r="W29" s="385">
        <f>'[10]СВОД инд дома 2012 (физлица)'!E21</f>
        <v>11.6</v>
      </c>
      <c r="X29" s="385" t="e">
        <f t="shared" si="12"/>
        <v>#REF!</v>
      </c>
      <c r="Y29" s="385"/>
      <c r="Z29" s="385"/>
      <c r="AA29" s="381" t="e">
        <f>#REF!</f>
        <v>#REF!</v>
      </c>
      <c r="AB29" s="381" t="e">
        <f t="shared" si="13"/>
        <v>#REF!</v>
      </c>
      <c r="AC29" s="580"/>
      <c r="AD29" s="575">
        <f>'[11]СВОД инд дома (физлица)'!$CC$21*12</f>
        <v>127.2</v>
      </c>
      <c r="AE29" s="386">
        <f>AD29/1.18</f>
        <v>107.796610169492</v>
      </c>
      <c r="AF29" s="386">
        <f>AE29/1.01</f>
        <v>106.729316999497</v>
      </c>
      <c r="AG29" s="386">
        <f>AF29/(1+0.1+0.302+2.4)</f>
        <v>28.0718876905568</v>
      </c>
      <c r="AH29" s="386" t="e">
        <f>AG29/F29</f>
        <v>#REF!</v>
      </c>
    </row>
    <row r="30" spans="1:34" s="386" customFormat="1" ht="34.5" customHeight="1" x14ac:dyDescent="0.3">
      <c r="A30" s="377"/>
      <c r="B30" s="378" t="s">
        <v>89</v>
      </c>
      <c r="C30" s="379"/>
      <c r="D30" s="380"/>
      <c r="E30" s="380"/>
      <c r="F30" s="381"/>
      <c r="G30" s="381"/>
      <c r="H30" s="381"/>
      <c r="I30" s="381">
        <f t="shared" si="1"/>
        <v>0</v>
      </c>
      <c r="J30" s="381">
        <f t="shared" si="2"/>
        <v>0</v>
      </c>
      <c r="K30" s="381">
        <f t="shared" si="3"/>
        <v>0</v>
      </c>
      <c r="L30" s="381"/>
      <c r="M30" s="381">
        <f t="shared" si="5"/>
        <v>0</v>
      </c>
      <c r="N30" s="381"/>
      <c r="O30" s="381"/>
      <c r="P30" s="381"/>
      <c r="Q30" s="381"/>
      <c r="R30" s="382"/>
      <c r="S30" s="383"/>
      <c r="T30" s="383"/>
      <c r="U30" s="383">
        <f>'[9]Физлица (инд. дом) '!P30</f>
        <v>0</v>
      </c>
      <c r="V30" s="384"/>
      <c r="W30" s="385"/>
      <c r="X30" s="385"/>
      <c r="Y30" s="385"/>
      <c r="Z30" s="385"/>
      <c r="AA30" s="381"/>
      <c r="AB30" s="381"/>
      <c r="AC30" s="580"/>
    </row>
    <row r="31" spans="1:34" ht="31.2" x14ac:dyDescent="0.3">
      <c r="A31" s="66" t="s">
        <v>76</v>
      </c>
      <c r="B31" s="74" t="s">
        <v>90</v>
      </c>
      <c r="C31" s="953" t="s">
        <v>91</v>
      </c>
      <c r="D31" s="15"/>
      <c r="E31" s="15"/>
      <c r="F31" s="24"/>
      <c r="G31" s="24"/>
      <c r="H31" s="17"/>
      <c r="I31" s="17">
        <f t="shared" si="1"/>
        <v>0</v>
      </c>
      <c r="J31" s="17">
        <f t="shared" si="2"/>
        <v>0</v>
      </c>
      <c r="K31" s="17">
        <f t="shared" si="3"/>
        <v>0</v>
      </c>
      <c r="L31" s="17"/>
      <c r="M31" s="17">
        <f t="shared" si="5"/>
        <v>0</v>
      </c>
      <c r="N31" s="17"/>
      <c r="O31" s="17"/>
      <c r="P31" s="242"/>
      <c r="Q31" s="17"/>
      <c r="R31" s="31"/>
      <c r="S31" s="21"/>
      <c r="T31" s="21"/>
      <c r="U31" s="21">
        <f>'[9]Физлица (инд. дом) '!P31</f>
        <v>0</v>
      </c>
      <c r="V31" s="125"/>
      <c r="W31" s="65"/>
      <c r="X31" s="65"/>
      <c r="Y31" s="65"/>
      <c r="Z31" s="65"/>
      <c r="AA31" s="24"/>
      <c r="AB31" s="24"/>
      <c r="AC31" s="46"/>
    </row>
    <row r="32" spans="1:34" x14ac:dyDescent="0.3">
      <c r="A32" s="66"/>
      <c r="B32" s="76" t="s">
        <v>92</v>
      </c>
      <c r="C32" s="953"/>
      <c r="D32" s="15" t="s">
        <v>42</v>
      </c>
      <c r="E32" s="15" t="s">
        <v>42</v>
      </c>
      <c r="F32" s="24" t="e">
        <f>$F$20</f>
        <v>#REF!</v>
      </c>
      <c r="G32" s="243">
        <v>0.56000000000000005</v>
      </c>
      <c r="H32" s="17" t="e">
        <f>F32*G32</f>
        <v>#REF!</v>
      </c>
      <c r="I32" s="17" t="e">
        <f>H32*$I$14</f>
        <v>#REF!</v>
      </c>
      <c r="J32" s="17" t="e">
        <f t="shared" si="2"/>
        <v>#REF!</v>
      </c>
      <c r="K32" s="17" t="e">
        <f t="shared" si="3"/>
        <v>#REF!</v>
      </c>
      <c r="L32" s="17" t="e">
        <f>SUM(H32:K32)</f>
        <v>#REF!</v>
      </c>
      <c r="M32" s="17" t="e">
        <f t="shared" si="5"/>
        <v>#REF!</v>
      </c>
      <c r="N32" s="17" t="e">
        <f>(L32+M32)*18%</f>
        <v>#REF!</v>
      </c>
      <c r="O32" s="17" t="e">
        <f>P32*12</f>
        <v>#REF!</v>
      </c>
      <c r="P32" s="242" t="e">
        <f>S32</f>
        <v>#REF!</v>
      </c>
      <c r="Q32" s="17" t="e">
        <f>L32+M32+N32</f>
        <v>#REF!</v>
      </c>
      <c r="R32" s="31"/>
      <c r="S32" s="21" t="e">
        <f>ROUNDDOWN(Q32/12,1)</f>
        <v>#REF!</v>
      </c>
      <c r="T32" s="21" t="e">
        <f>S32*12</f>
        <v>#REF!</v>
      </c>
      <c r="U32" s="21">
        <f>'[9]Физлица (инд. дом) '!P32</f>
        <v>11.9</v>
      </c>
      <c r="V32" s="125" t="e">
        <f>P32/U32</f>
        <v>#REF!</v>
      </c>
      <c r="W32" s="65">
        <f>'[10]СВОД инд дома 2012 (физлица)'!E20</f>
        <v>16.7</v>
      </c>
      <c r="X32" s="65">
        <f>'[12]СВОД инд дома (физлица)'!$CC$20</f>
        <v>17</v>
      </c>
      <c r="Y32" s="65"/>
      <c r="Z32" s="65"/>
      <c r="AA32" s="243">
        <f>Лист1!F73</f>
        <v>0.96</v>
      </c>
      <c r="AB32" s="243">
        <f>AA32/G32</f>
        <v>1.71</v>
      </c>
      <c r="AC32" s="581"/>
      <c r="AD32" s="347">
        <f>'[11]СВОД инд дома (физлица)'!$CC$20</f>
        <v>15.2</v>
      </c>
    </row>
    <row r="33" spans="1:29" x14ac:dyDescent="0.3">
      <c r="A33" s="66"/>
      <c r="B33" s="77" t="s">
        <v>93</v>
      </c>
      <c r="C33" s="68" t="s">
        <v>45</v>
      </c>
      <c r="D33" s="15" t="s">
        <v>42</v>
      </c>
      <c r="E33" s="15" t="s">
        <v>42</v>
      </c>
      <c r="F33" s="24" t="e">
        <f>$F$20</f>
        <v>#REF!</v>
      </c>
      <c r="G33" s="243">
        <v>0.7</v>
      </c>
      <c r="H33" s="17" t="e">
        <f>F33*G33</f>
        <v>#REF!</v>
      </c>
      <c r="I33" s="17" t="e">
        <f t="shared" si="1"/>
        <v>#REF!</v>
      </c>
      <c r="J33" s="17" t="e">
        <f t="shared" si="2"/>
        <v>#REF!</v>
      </c>
      <c r="K33" s="17" t="e">
        <f t="shared" si="3"/>
        <v>#REF!</v>
      </c>
      <c r="L33" s="17" t="e">
        <f>SUM(H33:K33)</f>
        <v>#REF!</v>
      </c>
      <c r="M33" s="17" t="e">
        <f t="shared" si="5"/>
        <v>#REF!</v>
      </c>
      <c r="N33" s="17" t="e">
        <f>(L33+M33)*18%</f>
        <v>#REF!</v>
      </c>
      <c r="O33" s="17" t="e">
        <f>P33*12</f>
        <v>#REF!</v>
      </c>
      <c r="P33" s="242" t="e">
        <f>S33</f>
        <v>#REF!</v>
      </c>
      <c r="Q33" s="17" t="e">
        <f>L33+M33+N33</f>
        <v>#REF!</v>
      </c>
      <c r="R33" s="31"/>
      <c r="S33" s="21" t="e">
        <f>ROUNDDOWN(Q33/12,1)</f>
        <v>#REF!</v>
      </c>
      <c r="T33" s="21" t="e">
        <f>S33*12</f>
        <v>#REF!</v>
      </c>
      <c r="U33" s="21">
        <f>'[9]Физлица (инд. дом) '!P33</f>
        <v>14.9</v>
      </c>
      <c r="V33" s="125" t="e">
        <f t="shared" si="11"/>
        <v>#REF!</v>
      </c>
      <c r="X33" s="65"/>
      <c r="Y33" s="65"/>
      <c r="Z33" s="65"/>
      <c r="AA33" s="243">
        <f>Лист1!F74</f>
        <v>1.2</v>
      </c>
      <c r="AB33" s="243">
        <f>AA33/G33</f>
        <v>1.71</v>
      </c>
      <c r="AC33" s="581"/>
    </row>
    <row r="34" spans="1:29" x14ac:dyDescent="0.3">
      <c r="A34" s="66" t="s">
        <v>94</v>
      </c>
      <c r="B34" s="78" t="s">
        <v>75</v>
      </c>
      <c r="C34" s="68"/>
      <c r="D34" s="15"/>
      <c r="E34" s="15"/>
      <c r="F34" s="24"/>
      <c r="G34" s="24"/>
      <c r="H34" s="30"/>
      <c r="I34" s="30"/>
      <c r="J34" s="30"/>
      <c r="K34" s="30"/>
      <c r="L34" s="30"/>
      <c r="M34" s="30"/>
      <c r="N34" s="30"/>
      <c r="O34" s="30" t="e">
        <f>P34*12</f>
        <v>#REF!</v>
      </c>
      <c r="P34" s="376" t="e">
        <f>#REF!</f>
        <v>#REF!</v>
      </c>
      <c r="Q34" s="17"/>
      <c r="R34" s="31"/>
      <c r="S34" s="31"/>
      <c r="T34" s="31"/>
      <c r="U34" s="21">
        <f>'[9]Физлица (инд. дом) '!P34</f>
        <v>12.2</v>
      </c>
      <c r="V34" s="125" t="e">
        <f t="shared" si="11"/>
        <v>#REF!</v>
      </c>
      <c r="W34" s="65"/>
      <c r="X34" s="65"/>
      <c r="Y34"/>
      <c r="AA34" s="24"/>
      <c r="AB34" s="24"/>
      <c r="AC34" s="46"/>
    </row>
    <row r="35" spans="1:29" x14ac:dyDescent="0.3">
      <c r="A35" s="79" t="s">
        <v>95</v>
      </c>
      <c r="B35" s="80" t="s">
        <v>77</v>
      </c>
      <c r="C35" s="81"/>
      <c r="D35" s="82"/>
      <c r="E35" s="82"/>
      <c r="F35" s="122"/>
      <c r="G35" s="122"/>
      <c r="H35" s="84"/>
      <c r="I35" s="84"/>
      <c r="J35" s="84"/>
      <c r="K35" s="84"/>
      <c r="L35" s="84"/>
      <c r="M35" s="84"/>
      <c r="N35" s="84"/>
      <c r="O35" s="84">
        <f>P35*12</f>
        <v>1.2</v>
      </c>
      <c r="P35" s="389">
        <f>'[12]СВОД инд дома (физлица)'!$CC$25</f>
        <v>0.1</v>
      </c>
      <c r="Q35" s="86"/>
      <c r="R35" s="33"/>
      <c r="S35" s="33"/>
      <c r="T35" s="33"/>
      <c r="U35" s="153">
        <f>'[9]Физлица (инд. дом) '!P35</f>
        <v>5.6</v>
      </c>
      <c r="V35" s="154">
        <f>P35/U35</f>
        <v>1.7999999999999999E-2</v>
      </c>
      <c r="W35" s="65">
        <f>'[10]СВОД инд дома 2012 (физлица)'!$E$25</f>
        <v>0.5</v>
      </c>
      <c r="X35" s="65"/>
      <c r="AA35" s="122"/>
      <c r="AB35" s="122"/>
      <c r="AC35" s="46"/>
    </row>
    <row r="36" spans="1:29" s="26" customFormat="1" x14ac:dyDescent="0.3">
      <c r="A36" s="96"/>
      <c r="B36" s="97"/>
      <c r="C36" s="48"/>
      <c r="D36" s="98"/>
      <c r="E36" s="98"/>
      <c r="F36" s="46"/>
      <c r="G36" s="46" t="e">
        <f t="shared" ref="G36:Z36" si="16">SUM(G15:G27)</f>
        <v>#REF!</v>
      </c>
      <c r="H36" s="46" t="e">
        <f t="shared" si="16"/>
        <v>#REF!</v>
      </c>
      <c r="I36" s="46" t="e">
        <f t="shared" si="16"/>
        <v>#REF!</v>
      </c>
      <c r="J36" s="46" t="e">
        <f t="shared" si="16"/>
        <v>#REF!</v>
      </c>
      <c r="K36" s="46" t="e">
        <f t="shared" si="16"/>
        <v>#REF!</v>
      </c>
      <c r="L36" s="46" t="e">
        <f t="shared" si="16"/>
        <v>#REF!</v>
      </c>
      <c r="M36" s="46" t="e">
        <f t="shared" si="16"/>
        <v>#REF!</v>
      </c>
      <c r="N36" s="46" t="e">
        <f t="shared" si="16"/>
        <v>#REF!</v>
      </c>
      <c r="O36" s="46" t="e">
        <f t="shared" si="16"/>
        <v>#REF!</v>
      </c>
      <c r="P36" s="46" t="e">
        <f t="shared" si="16"/>
        <v>#REF!</v>
      </c>
      <c r="Q36" s="46" t="e">
        <f t="shared" si="16"/>
        <v>#REF!</v>
      </c>
      <c r="R36" s="46" t="e">
        <f t="shared" si="16"/>
        <v>#REF!</v>
      </c>
      <c r="S36" s="46" t="e">
        <f t="shared" si="16"/>
        <v>#REF!</v>
      </c>
      <c r="T36" s="46" t="e">
        <f t="shared" si="16"/>
        <v>#REF!</v>
      </c>
      <c r="U36" s="46">
        <f t="shared" si="16"/>
        <v>201.4</v>
      </c>
      <c r="V36" s="46" t="e">
        <f t="shared" si="16"/>
        <v>#REF!</v>
      </c>
      <c r="W36" s="46">
        <f t="shared" si="16"/>
        <v>281.89999999999998</v>
      </c>
      <c r="X36" s="46" t="e">
        <f t="shared" si="16"/>
        <v>#REF!</v>
      </c>
      <c r="Y36" s="46" t="e">
        <f t="shared" si="16"/>
        <v>#REF!</v>
      </c>
      <c r="Z36" s="46">
        <f t="shared" si="16"/>
        <v>0</v>
      </c>
      <c r="AA36" s="46" t="e">
        <f>SUM(AA15:AA27)</f>
        <v>#REF!</v>
      </c>
      <c r="AB36" s="46" t="e">
        <f>G36/AA36</f>
        <v>#REF!</v>
      </c>
      <c r="AC36" s="46" t="e">
        <f>SUM(AC15:AC27)</f>
        <v>#REF!</v>
      </c>
    </row>
    <row r="37" spans="1:29" x14ac:dyDescent="0.3">
      <c r="F37" s="2" t="s">
        <v>269</v>
      </c>
      <c r="G37" s="583" t="e">
        <f t="shared" ref="G37:Z37" si="17">SUM(G15:G28)</f>
        <v>#REF!</v>
      </c>
      <c r="H37" s="583" t="e">
        <f t="shared" si="17"/>
        <v>#REF!</v>
      </c>
      <c r="I37" s="583" t="e">
        <f t="shared" si="17"/>
        <v>#REF!</v>
      </c>
      <c r="J37" s="583" t="e">
        <f t="shared" si="17"/>
        <v>#REF!</v>
      </c>
      <c r="K37" s="583" t="e">
        <f t="shared" si="17"/>
        <v>#REF!</v>
      </c>
      <c r="L37" s="583" t="e">
        <f t="shared" si="17"/>
        <v>#REF!</v>
      </c>
      <c r="M37" s="583" t="e">
        <f t="shared" si="17"/>
        <v>#REF!</v>
      </c>
      <c r="N37" s="583" t="e">
        <f t="shared" si="17"/>
        <v>#REF!</v>
      </c>
      <c r="O37" s="583" t="e">
        <f t="shared" si="17"/>
        <v>#REF!</v>
      </c>
      <c r="P37" s="583" t="e">
        <f t="shared" si="17"/>
        <v>#REF!</v>
      </c>
      <c r="Q37" s="583" t="e">
        <f t="shared" si="17"/>
        <v>#REF!</v>
      </c>
      <c r="R37" s="583" t="e">
        <f t="shared" si="17"/>
        <v>#REF!</v>
      </c>
      <c r="S37" s="583" t="e">
        <f t="shared" si="17"/>
        <v>#REF!</v>
      </c>
      <c r="T37" s="583" t="e">
        <f t="shared" si="17"/>
        <v>#REF!</v>
      </c>
      <c r="U37" s="583">
        <f t="shared" si="17"/>
        <v>224.6</v>
      </c>
      <c r="V37" s="583" t="e">
        <f t="shared" si="17"/>
        <v>#REF!</v>
      </c>
      <c r="W37" s="583">
        <f t="shared" si="17"/>
        <v>314.39999999999998</v>
      </c>
      <c r="X37" s="583" t="e">
        <f t="shared" si="17"/>
        <v>#REF!</v>
      </c>
      <c r="Y37" s="583" t="e">
        <f t="shared" si="17"/>
        <v>#REF!</v>
      </c>
      <c r="Z37" s="583">
        <f t="shared" si="17"/>
        <v>0</v>
      </c>
      <c r="AA37" s="583" t="e">
        <f>SUM(AA15:AA28)</f>
        <v>#REF!</v>
      </c>
      <c r="AC37" s="583" t="e">
        <f>SUM(AC15:AC28)</f>
        <v>#REF!</v>
      </c>
    </row>
    <row r="38" spans="1:29" x14ac:dyDescent="0.3">
      <c r="F38" s="387">
        <v>0.74</v>
      </c>
      <c r="H38" s="2">
        <v>20.3</v>
      </c>
      <c r="AA38" s="387"/>
      <c r="AB38" s="387"/>
      <c r="AC38" s="387"/>
    </row>
    <row r="39" spans="1:29" x14ac:dyDescent="0.3">
      <c r="F39" s="387">
        <v>0.93</v>
      </c>
      <c r="H39" s="2">
        <v>25.5</v>
      </c>
      <c r="AA39" s="387"/>
      <c r="AB39" s="387"/>
      <c r="AC39" s="387"/>
    </row>
    <row r="40" spans="1:29" x14ac:dyDescent="0.3">
      <c r="G40" s="65">
        <f>F38*H40/H38</f>
        <v>0.55000000000000004</v>
      </c>
      <c r="H40" s="2">
        <v>15.2</v>
      </c>
      <c r="AA40" s="65"/>
      <c r="AB40" s="65"/>
      <c r="AC40" s="65"/>
    </row>
    <row r="41" spans="1:29" x14ac:dyDescent="0.3">
      <c r="G41" s="65">
        <f>F38*H41/H38</f>
        <v>0.7</v>
      </c>
      <c r="H41" s="388">
        <f>H40/H38*H39</f>
        <v>19.100000000000001</v>
      </c>
      <c r="AA41" s="65"/>
      <c r="AB41" s="65"/>
      <c r="AC41" s="65"/>
    </row>
  </sheetData>
  <mergeCells count="26">
    <mergeCell ref="A8:AB8"/>
    <mergeCell ref="A9:AB9"/>
    <mergeCell ref="A10:A13"/>
    <mergeCell ref="B10:B13"/>
    <mergeCell ref="C10:C13"/>
    <mergeCell ref="D10:D13"/>
    <mergeCell ref="E10:E13"/>
    <mergeCell ref="F10:F13"/>
    <mergeCell ref="G10:G13"/>
    <mergeCell ref="H10:H13"/>
    <mergeCell ref="V10:V13"/>
    <mergeCell ref="AA10:AA13"/>
    <mergeCell ref="AB10:AB13"/>
    <mergeCell ref="S10:T13"/>
    <mergeCell ref="U10:U13"/>
    <mergeCell ref="C31:C32"/>
    <mergeCell ref="O10:O13"/>
    <mergeCell ref="P10:P13"/>
    <mergeCell ref="Q10:Q13"/>
    <mergeCell ref="R10:R13"/>
    <mergeCell ref="I10:I13"/>
    <mergeCell ref="J10:J13"/>
    <mergeCell ref="K10:K13"/>
    <mergeCell ref="L10:L13"/>
    <mergeCell ref="M10:M13"/>
    <mergeCell ref="N10:N13"/>
  </mergeCells>
  <printOptions horizontalCentered="1"/>
  <pageMargins left="0" right="0" top="0.19685039370078741" bottom="0" header="0.51181102362204722" footer="0.51181102362204722"/>
  <pageSetup paperSize="9" scale="83" orientation="landscape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4"/>
  <sheetViews>
    <sheetView topLeftCell="A43" workbookViewId="0">
      <selection activeCell="F74" sqref="F74"/>
    </sheetView>
  </sheetViews>
  <sheetFormatPr defaultColWidth="9" defaultRowHeight="13.2" x14ac:dyDescent="0.25"/>
  <cols>
    <col min="1" max="1" width="6.19921875" style="422" customWidth="1"/>
    <col min="2" max="2" width="50.69921875" style="422" customWidth="1"/>
    <col min="3" max="3" width="11.09765625" style="422" customWidth="1"/>
    <col min="4" max="4" width="10.59765625" style="422" customWidth="1"/>
    <col min="5" max="5" width="7.5" style="422" customWidth="1"/>
    <col min="6" max="7" width="7.8984375" style="422" customWidth="1"/>
    <col min="8" max="8" width="8" style="422" customWidth="1"/>
    <col min="9" max="10" width="9" style="422" customWidth="1"/>
    <col min="11" max="16384" width="9" style="422"/>
  </cols>
  <sheetData>
    <row r="1" spans="1:10" ht="24.75" customHeight="1" x14ac:dyDescent="0.25">
      <c r="A1" s="427" t="s">
        <v>916</v>
      </c>
      <c r="B1" s="424"/>
      <c r="C1" s="424"/>
      <c r="D1" s="424"/>
      <c r="E1" s="530"/>
      <c r="F1" s="530"/>
      <c r="G1" s="424"/>
      <c r="H1" s="424"/>
      <c r="I1" s="424"/>
      <c r="J1" s="424"/>
    </row>
    <row r="2" spans="1:10" ht="9" customHeight="1" x14ac:dyDescent="0.25">
      <c r="A2" s="424"/>
      <c r="B2" s="424"/>
      <c r="C2" s="424"/>
      <c r="D2" s="424"/>
      <c r="E2" s="530"/>
      <c r="F2" s="530"/>
      <c r="G2" s="424"/>
      <c r="H2" s="424"/>
      <c r="I2" s="424"/>
      <c r="J2" s="424"/>
    </row>
    <row r="3" spans="1:10" x14ac:dyDescent="0.25">
      <c r="A3" s="424" t="s">
        <v>917</v>
      </c>
      <c r="B3" s="424"/>
      <c r="C3" s="424"/>
      <c r="D3" s="424"/>
      <c r="E3" s="530"/>
      <c r="F3" s="530"/>
      <c r="G3" s="491"/>
      <c r="H3" s="491"/>
      <c r="I3" s="491"/>
      <c r="J3" s="491"/>
    </row>
    <row r="4" spans="1:10" ht="7.5" customHeight="1" x14ac:dyDescent="0.25">
      <c r="E4" s="531"/>
      <c r="F4" s="531"/>
      <c r="G4" s="482"/>
      <c r="H4" s="430"/>
      <c r="I4" s="482"/>
      <c r="J4" s="482"/>
    </row>
    <row r="5" spans="1:10" x14ac:dyDescent="0.25">
      <c r="A5" s="432" t="s">
        <v>273</v>
      </c>
      <c r="B5" s="433"/>
      <c r="C5" s="434" t="s">
        <v>274</v>
      </c>
      <c r="D5" s="435" t="s">
        <v>275</v>
      </c>
      <c r="E5" s="436" t="s">
        <v>276</v>
      </c>
      <c r="F5" s="437" t="s">
        <v>277</v>
      </c>
      <c r="G5" s="436" t="s">
        <v>278</v>
      </c>
      <c r="H5" s="438" t="s">
        <v>279</v>
      </c>
      <c r="I5" s="439" t="s">
        <v>378</v>
      </c>
      <c r="J5" s="440"/>
    </row>
    <row r="6" spans="1:10" x14ac:dyDescent="0.25">
      <c r="A6" s="441" t="s">
        <v>280</v>
      </c>
      <c r="B6" s="428"/>
      <c r="C6" s="442" t="s">
        <v>23</v>
      </c>
      <c r="D6" s="443" t="s">
        <v>281</v>
      </c>
      <c r="E6" s="444" t="s">
        <v>25</v>
      </c>
      <c r="F6" s="445" t="s">
        <v>26</v>
      </c>
      <c r="G6" s="444" t="s">
        <v>27</v>
      </c>
      <c r="H6" s="446" t="s">
        <v>282</v>
      </c>
      <c r="I6" s="438" t="s">
        <v>283</v>
      </c>
      <c r="J6" s="447" t="s">
        <v>284</v>
      </c>
    </row>
    <row r="7" spans="1:10" x14ac:dyDescent="0.25">
      <c r="A7" s="441"/>
      <c r="B7" s="428"/>
      <c r="C7" s="442"/>
      <c r="D7" s="443" t="s">
        <v>31</v>
      </c>
      <c r="E7" s="444" t="s">
        <v>32</v>
      </c>
      <c r="F7" s="445" t="s">
        <v>285</v>
      </c>
      <c r="G7" s="444" t="s">
        <v>34</v>
      </c>
      <c r="H7" s="446" t="s">
        <v>32</v>
      </c>
      <c r="I7" s="446" t="s">
        <v>286</v>
      </c>
      <c r="J7" s="448" t="s">
        <v>287</v>
      </c>
    </row>
    <row r="8" spans="1:10" x14ac:dyDescent="0.25">
      <c r="A8" s="449"/>
      <c r="B8" s="450"/>
      <c r="C8" s="451"/>
      <c r="D8" s="452"/>
      <c r="E8" s="453"/>
      <c r="F8" s="454" t="s">
        <v>36</v>
      </c>
      <c r="G8" s="455" t="s">
        <v>32</v>
      </c>
      <c r="H8" s="456"/>
      <c r="I8" s="457" t="s">
        <v>288</v>
      </c>
      <c r="J8" s="458" t="s">
        <v>289</v>
      </c>
    </row>
    <row r="9" spans="1:10" ht="19.5" customHeight="1" x14ac:dyDescent="0.25">
      <c r="A9" s="459" t="s">
        <v>918</v>
      </c>
      <c r="B9" s="422" t="s">
        <v>919</v>
      </c>
      <c r="C9" s="445" t="s">
        <v>920</v>
      </c>
      <c r="D9" s="443" t="s">
        <v>290</v>
      </c>
      <c r="E9" s="461">
        <v>11.84</v>
      </c>
      <c r="F9" s="516">
        <v>0.43</v>
      </c>
      <c r="G9" s="446">
        <f t="shared" ref="G9:G18" si="0">E9*F9</f>
        <v>5.09</v>
      </c>
      <c r="H9" s="464">
        <f>G9*3.322+G10*3.322</f>
        <v>35.380000000000003</v>
      </c>
      <c r="I9" s="463">
        <f>ROUND(H9*1.25,2)</f>
        <v>44.23</v>
      </c>
      <c r="J9" s="463">
        <f>ROUND(H9*1.298,1)</f>
        <v>45.9</v>
      </c>
    </row>
    <row r="10" spans="1:10" x14ac:dyDescent="0.25">
      <c r="A10" s="459"/>
      <c r="C10" s="445"/>
      <c r="D10" s="443" t="s">
        <v>41</v>
      </c>
      <c r="E10" s="461">
        <v>12.92</v>
      </c>
      <c r="F10" s="516">
        <v>0.43</v>
      </c>
      <c r="G10" s="446">
        <f t="shared" si="0"/>
        <v>5.56</v>
      </c>
      <c r="H10" s="464"/>
      <c r="I10" s="463"/>
      <c r="J10" s="463"/>
    </row>
    <row r="11" spans="1:10" ht="18" customHeight="1" x14ac:dyDescent="0.25">
      <c r="A11" s="459" t="s">
        <v>921</v>
      </c>
      <c r="B11" s="422" t="s">
        <v>922</v>
      </c>
      <c r="C11" s="445" t="s">
        <v>920</v>
      </c>
      <c r="D11" s="443" t="s">
        <v>290</v>
      </c>
      <c r="E11" s="461">
        <v>11.84</v>
      </c>
      <c r="F11" s="516">
        <v>0.57999999999999996</v>
      </c>
      <c r="G11" s="446">
        <f t="shared" si="0"/>
        <v>6.87</v>
      </c>
      <c r="H11" s="464">
        <f>G11*3.322+G12*3.322</f>
        <v>47.7</v>
      </c>
      <c r="I11" s="463">
        <f>ROUND(H11*1.25,2)</f>
        <v>59.63</v>
      </c>
      <c r="J11" s="463">
        <f>ROUND(H11*1.298,1)</f>
        <v>61.9</v>
      </c>
    </row>
    <row r="12" spans="1:10" x14ac:dyDescent="0.25">
      <c r="A12" s="459"/>
      <c r="C12" s="445"/>
      <c r="D12" s="443" t="s">
        <v>41</v>
      </c>
      <c r="E12" s="461">
        <v>12.92</v>
      </c>
      <c r="F12" s="516">
        <v>0.57999999999999996</v>
      </c>
      <c r="G12" s="446">
        <f t="shared" si="0"/>
        <v>7.49</v>
      </c>
      <c r="H12" s="464"/>
      <c r="I12" s="463"/>
      <c r="J12" s="463"/>
    </row>
    <row r="13" spans="1:10" ht="18.75" customHeight="1" x14ac:dyDescent="0.25">
      <c r="A13" s="510" t="s">
        <v>923</v>
      </c>
      <c r="B13" s="422" t="s">
        <v>924</v>
      </c>
      <c r="C13" s="445" t="s">
        <v>925</v>
      </c>
      <c r="D13" s="443" t="s">
        <v>290</v>
      </c>
      <c r="E13" s="461">
        <v>11.84</v>
      </c>
      <c r="F13" s="516">
        <v>0.03</v>
      </c>
      <c r="G13" s="446">
        <f t="shared" si="0"/>
        <v>0.36</v>
      </c>
      <c r="H13" s="464">
        <f>G13*3.322+G14*3.322</f>
        <v>2.4900000000000002</v>
      </c>
      <c r="I13" s="463">
        <f>ROUND(H13*1.25,2)</f>
        <v>3.11</v>
      </c>
      <c r="J13" s="463">
        <f>ROUND(H13*1.298,1)</f>
        <v>3.2</v>
      </c>
    </row>
    <row r="14" spans="1:10" x14ac:dyDescent="0.25">
      <c r="A14" s="459"/>
      <c r="C14" s="445"/>
      <c r="D14" s="443" t="s">
        <v>41</v>
      </c>
      <c r="E14" s="461">
        <v>12.92</v>
      </c>
      <c r="F14" s="516">
        <v>0.03</v>
      </c>
      <c r="G14" s="446">
        <f t="shared" si="0"/>
        <v>0.39</v>
      </c>
      <c r="H14" s="464"/>
      <c r="I14" s="463"/>
      <c r="J14" s="493"/>
    </row>
    <row r="15" spans="1:10" ht="19.5" customHeight="1" x14ac:dyDescent="0.25">
      <c r="A15" s="532" t="s">
        <v>926</v>
      </c>
      <c r="B15" s="521" t="s">
        <v>927</v>
      </c>
      <c r="C15" s="445" t="s">
        <v>928</v>
      </c>
      <c r="D15" s="443" t="s">
        <v>290</v>
      </c>
      <c r="E15" s="461">
        <v>11.84</v>
      </c>
      <c r="F15" s="516">
        <v>0.02</v>
      </c>
      <c r="G15" s="446">
        <f t="shared" si="0"/>
        <v>0.24</v>
      </c>
      <c r="H15" s="464">
        <f>G15*3.322+G16*3.322</f>
        <v>2.09</v>
      </c>
      <c r="I15" s="463">
        <f>ROUND(H15*1.25,2)</f>
        <v>2.61</v>
      </c>
      <c r="J15" s="463">
        <f>ROUND(H15*1.298,1)</f>
        <v>2.7</v>
      </c>
    </row>
    <row r="16" spans="1:10" x14ac:dyDescent="0.25">
      <c r="A16" s="533"/>
      <c r="B16" s="521" t="s">
        <v>929</v>
      </c>
      <c r="C16" s="445"/>
      <c r="D16" s="443" t="s">
        <v>41</v>
      </c>
      <c r="E16" s="461">
        <v>12.92</v>
      </c>
      <c r="F16" s="516">
        <v>0.03</v>
      </c>
      <c r="G16" s="446">
        <f t="shared" si="0"/>
        <v>0.39</v>
      </c>
      <c r="H16" s="464"/>
      <c r="I16" s="463"/>
      <c r="J16" s="466"/>
    </row>
    <row r="17" spans="1:10" ht="18" customHeight="1" x14ac:dyDescent="0.25">
      <c r="A17" s="459" t="s">
        <v>930</v>
      </c>
      <c r="B17" s="460" t="s">
        <v>931</v>
      </c>
      <c r="C17" s="445" t="s">
        <v>932</v>
      </c>
      <c r="D17" s="443" t="s">
        <v>290</v>
      </c>
      <c r="E17" s="461">
        <v>11.84</v>
      </c>
      <c r="F17" s="516">
        <v>0.05</v>
      </c>
      <c r="G17" s="446">
        <f t="shared" si="0"/>
        <v>0.59</v>
      </c>
      <c r="H17" s="464">
        <f>G17*3.322+G18*3.322</f>
        <v>4.55</v>
      </c>
      <c r="I17" s="463">
        <f>ROUND(H17*1.25,2)</f>
        <v>5.69</v>
      </c>
      <c r="J17" s="463">
        <f>ROUND(H17*1.298,1)</f>
        <v>5.9</v>
      </c>
    </row>
    <row r="18" spans="1:10" x14ac:dyDescent="0.25">
      <c r="A18" s="459"/>
      <c r="B18" s="422" t="s">
        <v>933</v>
      </c>
      <c r="C18" s="445" t="s">
        <v>934</v>
      </c>
      <c r="D18" s="443" t="s">
        <v>41</v>
      </c>
      <c r="E18" s="461">
        <v>12.92</v>
      </c>
      <c r="F18" s="516">
        <v>0.06</v>
      </c>
      <c r="G18" s="446">
        <f t="shared" si="0"/>
        <v>0.78</v>
      </c>
      <c r="H18" s="464"/>
      <c r="I18" s="463"/>
      <c r="J18" s="463"/>
    </row>
    <row r="19" spans="1:10" x14ac:dyDescent="0.25">
      <c r="A19" s="459"/>
      <c r="B19" s="422" t="s">
        <v>935</v>
      </c>
      <c r="C19" s="445"/>
      <c r="D19" s="494"/>
      <c r="E19" s="511"/>
      <c r="F19" s="516"/>
      <c r="G19" s="517"/>
      <c r="H19" s="464"/>
      <c r="I19" s="463"/>
      <c r="J19" s="493"/>
    </row>
    <row r="20" spans="1:10" ht="15.6" x14ac:dyDescent="0.3">
      <c r="A20" s="459"/>
      <c r="B20" s="422" t="s">
        <v>936</v>
      </c>
      <c r="C20" s="445"/>
      <c r="D20" s="494"/>
      <c r="E20" s="511"/>
      <c r="F20" s="516"/>
      <c r="G20" s="517"/>
      <c r="H20" s="464"/>
      <c r="I20" s="463"/>
      <c r="J20" s="493"/>
    </row>
    <row r="21" spans="1:10" x14ac:dyDescent="0.25">
      <c r="A21" s="459"/>
      <c r="B21" s="422" t="s">
        <v>937</v>
      </c>
      <c r="C21" s="445"/>
      <c r="D21" s="494"/>
      <c r="E21" s="511"/>
      <c r="F21" s="516"/>
      <c r="G21" s="517"/>
      <c r="H21" s="472"/>
      <c r="I21" s="463"/>
      <c r="J21" s="493"/>
    </row>
    <row r="22" spans="1:10" x14ac:dyDescent="0.25">
      <c r="A22" s="459"/>
      <c r="B22" s="422" t="s">
        <v>938</v>
      </c>
      <c r="C22" s="445"/>
      <c r="D22" s="494"/>
      <c r="E22" s="511"/>
      <c r="F22" s="516"/>
      <c r="G22" s="517"/>
      <c r="H22" s="472"/>
      <c r="I22" s="463"/>
      <c r="J22" s="493"/>
    </row>
    <row r="23" spans="1:10" ht="16.5" customHeight="1" x14ac:dyDescent="0.25">
      <c r="A23" s="459" t="s">
        <v>939</v>
      </c>
      <c r="B23" s="422" t="s">
        <v>940</v>
      </c>
      <c r="C23" s="445" t="s">
        <v>941</v>
      </c>
      <c r="D23" s="443" t="s">
        <v>290</v>
      </c>
      <c r="E23" s="461">
        <v>11.84</v>
      </c>
      <c r="F23" s="516">
        <v>0.14000000000000001</v>
      </c>
      <c r="G23" s="446">
        <f>E23*F23</f>
        <v>1.66</v>
      </c>
      <c r="H23" s="464">
        <f>G23*3.322+G24*3.322</f>
        <v>11.96</v>
      </c>
      <c r="I23" s="463">
        <f>ROUND(H23*1.25,2)</f>
        <v>14.95</v>
      </c>
      <c r="J23" s="463">
        <f>ROUND(H23*1.298,1)</f>
        <v>15.5</v>
      </c>
    </row>
    <row r="24" spans="1:10" x14ac:dyDescent="0.25">
      <c r="A24" s="459"/>
      <c r="B24" s="422" t="s">
        <v>942</v>
      </c>
      <c r="C24" s="445"/>
      <c r="D24" s="443" t="s">
        <v>41</v>
      </c>
      <c r="E24" s="461">
        <v>12.92</v>
      </c>
      <c r="F24" s="516">
        <v>0.15</v>
      </c>
      <c r="G24" s="446">
        <f>E24*F24</f>
        <v>1.94</v>
      </c>
      <c r="H24" s="464"/>
      <c r="I24" s="463"/>
      <c r="J24" s="463"/>
    </row>
    <row r="25" spans="1:10" x14ac:dyDescent="0.25">
      <c r="A25" s="459"/>
      <c r="B25" s="422" t="s">
        <v>943</v>
      </c>
      <c r="C25" s="445"/>
      <c r="D25" s="494"/>
      <c r="E25" s="511"/>
      <c r="F25" s="516"/>
      <c r="G25" s="517"/>
      <c r="H25" s="464"/>
      <c r="I25" s="463"/>
      <c r="J25" s="493"/>
    </row>
    <row r="26" spans="1:10" ht="17.25" customHeight="1" x14ac:dyDescent="0.25">
      <c r="A26" s="459" t="s">
        <v>944</v>
      </c>
      <c r="B26" s="422" t="s">
        <v>945</v>
      </c>
      <c r="C26" s="445" t="s">
        <v>946</v>
      </c>
      <c r="D26" s="443" t="s">
        <v>290</v>
      </c>
      <c r="E26" s="461">
        <v>11.84</v>
      </c>
      <c r="F26" s="516">
        <v>0.05</v>
      </c>
      <c r="G26" s="446">
        <f>E26*F26</f>
        <v>0.59</v>
      </c>
      <c r="H26" s="464">
        <f>G26*3.322+G27*3.322</f>
        <v>4.12</v>
      </c>
      <c r="I26" s="463">
        <f>ROUND(H26*1.25,2)</f>
        <v>5.15</v>
      </c>
      <c r="J26" s="463">
        <f>ROUND(H26*1.298,1)</f>
        <v>5.3</v>
      </c>
    </row>
    <row r="27" spans="1:10" x14ac:dyDescent="0.25">
      <c r="A27" s="459"/>
      <c r="B27" s="422" t="s">
        <v>947</v>
      </c>
      <c r="C27" s="445" t="s">
        <v>409</v>
      </c>
      <c r="D27" s="443" t="s">
        <v>41</v>
      </c>
      <c r="E27" s="461">
        <v>12.92</v>
      </c>
      <c r="F27" s="516">
        <v>0.05</v>
      </c>
      <c r="G27" s="446">
        <f>E27*F27</f>
        <v>0.65</v>
      </c>
      <c r="H27" s="472"/>
      <c r="I27" s="463"/>
      <c r="J27" s="493"/>
    </row>
    <row r="28" spans="1:10" x14ac:dyDescent="0.25">
      <c r="A28" s="459"/>
      <c r="B28" s="422" t="s">
        <v>948</v>
      </c>
      <c r="C28" s="445"/>
      <c r="D28" s="494"/>
      <c r="E28" s="511"/>
      <c r="F28" s="516"/>
      <c r="G28" s="517"/>
      <c r="H28" s="472"/>
      <c r="I28" s="463"/>
      <c r="J28" s="493"/>
    </row>
    <row r="29" spans="1:10" x14ac:dyDescent="0.25">
      <c r="A29" s="459"/>
      <c r="B29" s="422" t="s">
        <v>949</v>
      </c>
      <c r="C29" s="445"/>
      <c r="D29" s="494"/>
      <c r="E29" s="511"/>
      <c r="F29" s="516"/>
      <c r="G29" s="517"/>
      <c r="H29" s="472"/>
      <c r="I29" s="463"/>
      <c r="J29" s="493"/>
    </row>
    <row r="30" spans="1:10" ht="17.25" customHeight="1" x14ac:dyDescent="0.25">
      <c r="A30" s="459" t="s">
        <v>950</v>
      </c>
      <c r="B30" s="490" t="s">
        <v>951</v>
      </c>
      <c r="C30" s="445" t="s">
        <v>952</v>
      </c>
      <c r="D30" s="443" t="s">
        <v>290</v>
      </c>
      <c r="E30" s="461">
        <v>11.84</v>
      </c>
      <c r="F30" s="516">
        <v>0.04</v>
      </c>
      <c r="G30" s="446">
        <f t="shared" ref="G30:G41" si="1">E30*F30</f>
        <v>0.47</v>
      </c>
      <c r="H30" s="464">
        <f>G30*3.322+G31*3.322</f>
        <v>3.72</v>
      </c>
      <c r="I30" s="463">
        <f>ROUND(H30*1.25,2)</f>
        <v>4.6500000000000004</v>
      </c>
      <c r="J30" s="463">
        <f>ROUND(H30*1.298,1)</f>
        <v>4.8</v>
      </c>
    </row>
    <row r="31" spans="1:10" ht="11.25" customHeight="1" x14ac:dyDescent="0.25">
      <c r="A31" s="459"/>
      <c r="B31" s="490"/>
      <c r="C31" s="445" t="s">
        <v>953</v>
      </c>
      <c r="D31" s="443" t="s">
        <v>41</v>
      </c>
      <c r="E31" s="461">
        <v>12.92</v>
      </c>
      <c r="F31" s="516">
        <v>0.05</v>
      </c>
      <c r="G31" s="446">
        <f t="shared" si="1"/>
        <v>0.65</v>
      </c>
      <c r="H31" s="464"/>
      <c r="I31" s="463"/>
      <c r="J31" s="463"/>
    </row>
    <row r="32" spans="1:10" ht="17.25" customHeight="1" x14ac:dyDescent="0.25">
      <c r="A32" s="459" t="s">
        <v>954</v>
      </c>
      <c r="B32" s="422" t="s">
        <v>955</v>
      </c>
      <c r="C32" s="445" t="s">
        <v>956</v>
      </c>
      <c r="D32" s="443" t="s">
        <v>290</v>
      </c>
      <c r="E32" s="461">
        <v>11.84</v>
      </c>
      <c r="F32" s="516">
        <v>0.06</v>
      </c>
      <c r="G32" s="446">
        <f t="shared" si="1"/>
        <v>0.71</v>
      </c>
      <c r="H32" s="464">
        <f>G32*3.322+G33*3.322</f>
        <v>4.95</v>
      </c>
      <c r="I32" s="463">
        <f>ROUND(H32*1.25,2)</f>
        <v>6.19</v>
      </c>
      <c r="J32" s="463">
        <f>ROUND(H32*1.298,1)</f>
        <v>6.4</v>
      </c>
    </row>
    <row r="33" spans="1:10" ht="13.5" customHeight="1" x14ac:dyDescent="0.25">
      <c r="A33" s="459"/>
      <c r="C33" s="445"/>
      <c r="D33" s="443" t="s">
        <v>41</v>
      </c>
      <c r="E33" s="461">
        <v>12.92</v>
      </c>
      <c r="F33" s="516">
        <v>0.06</v>
      </c>
      <c r="G33" s="446">
        <f t="shared" si="1"/>
        <v>0.78</v>
      </c>
      <c r="H33" s="464"/>
      <c r="I33" s="463"/>
      <c r="J33" s="463"/>
    </row>
    <row r="34" spans="1:10" ht="19.5" customHeight="1" x14ac:dyDescent="0.25">
      <c r="A34" s="459" t="s">
        <v>957</v>
      </c>
      <c r="B34" s="422" t="s">
        <v>958</v>
      </c>
      <c r="C34" s="445" t="s">
        <v>959</v>
      </c>
      <c r="D34" s="443" t="s">
        <v>290</v>
      </c>
      <c r="E34" s="461">
        <v>11.84</v>
      </c>
      <c r="F34" s="516">
        <v>0.05</v>
      </c>
      <c r="G34" s="446">
        <f t="shared" si="1"/>
        <v>0.59</v>
      </c>
      <c r="H34" s="464">
        <f>G34*3.322+G35*3.322</f>
        <v>4.12</v>
      </c>
      <c r="I34" s="463">
        <f>ROUND(H34*1.25,2)</f>
        <v>5.15</v>
      </c>
      <c r="J34" s="463">
        <f>ROUND(H34*1.298,1)</f>
        <v>5.3</v>
      </c>
    </row>
    <row r="35" spans="1:10" x14ac:dyDescent="0.25">
      <c r="A35" s="459"/>
      <c r="B35" s="422" t="s">
        <v>960</v>
      </c>
      <c r="C35" s="445" t="s">
        <v>961</v>
      </c>
      <c r="D35" s="443" t="s">
        <v>41</v>
      </c>
      <c r="E35" s="461">
        <v>12.92</v>
      </c>
      <c r="F35" s="516">
        <v>0.05</v>
      </c>
      <c r="G35" s="446">
        <f t="shared" si="1"/>
        <v>0.65</v>
      </c>
      <c r="H35" s="464"/>
      <c r="I35" s="463"/>
      <c r="J35" s="463"/>
    </row>
    <row r="36" spans="1:10" ht="17.25" customHeight="1" x14ac:dyDescent="0.25">
      <c r="A36" s="459" t="s">
        <v>962</v>
      </c>
      <c r="B36" s="422" t="s">
        <v>963</v>
      </c>
      <c r="C36" s="445" t="s">
        <v>45</v>
      </c>
      <c r="D36" s="443" t="s">
        <v>290</v>
      </c>
      <c r="E36" s="461">
        <v>11.84</v>
      </c>
      <c r="F36" s="516">
        <v>0.2</v>
      </c>
      <c r="G36" s="446">
        <f t="shared" si="1"/>
        <v>2.37</v>
      </c>
      <c r="H36" s="464">
        <f>G36*3.322+G37*3.322</f>
        <v>16.440000000000001</v>
      </c>
      <c r="I36" s="463">
        <f>ROUND(H36*1.25,2)</f>
        <v>20.55</v>
      </c>
      <c r="J36" s="463">
        <f>ROUND(H36*1.298,1)</f>
        <v>21.3</v>
      </c>
    </row>
    <row r="37" spans="1:10" x14ac:dyDescent="0.25">
      <c r="A37" s="459"/>
      <c r="B37" s="422" t="s">
        <v>964</v>
      </c>
      <c r="C37" s="445"/>
      <c r="D37" s="443" t="s">
        <v>41</v>
      </c>
      <c r="E37" s="461">
        <v>12.92</v>
      </c>
      <c r="F37" s="516">
        <v>0.2</v>
      </c>
      <c r="G37" s="446">
        <f t="shared" si="1"/>
        <v>2.58</v>
      </c>
      <c r="H37" s="472"/>
      <c r="I37" s="463"/>
      <c r="J37" s="493"/>
    </row>
    <row r="38" spans="1:10" ht="19.5" customHeight="1" x14ac:dyDescent="0.25">
      <c r="A38" s="459" t="s">
        <v>965</v>
      </c>
      <c r="B38" s="422" t="s">
        <v>966</v>
      </c>
      <c r="C38" s="445" t="s">
        <v>959</v>
      </c>
      <c r="D38" s="443" t="s">
        <v>290</v>
      </c>
      <c r="E38" s="461">
        <v>11.84</v>
      </c>
      <c r="F38" s="516">
        <v>0.32</v>
      </c>
      <c r="G38" s="446">
        <f t="shared" si="1"/>
        <v>3.79</v>
      </c>
      <c r="H38" s="464">
        <f>G38*3.322+G39*3.322</f>
        <v>26.31</v>
      </c>
      <c r="I38" s="463">
        <f>ROUND(H38*1.25,2)</f>
        <v>32.89</v>
      </c>
      <c r="J38" s="463">
        <f>ROUND(H38*1.298,1)</f>
        <v>34.200000000000003</v>
      </c>
    </row>
    <row r="39" spans="1:10" x14ac:dyDescent="0.25">
      <c r="A39" s="459"/>
      <c r="C39" s="445" t="s">
        <v>961</v>
      </c>
      <c r="D39" s="443" t="s">
        <v>41</v>
      </c>
      <c r="E39" s="461">
        <v>12.92</v>
      </c>
      <c r="F39" s="516">
        <v>0.32</v>
      </c>
      <c r="G39" s="446">
        <f t="shared" si="1"/>
        <v>4.13</v>
      </c>
      <c r="H39" s="472"/>
      <c r="I39" s="463"/>
      <c r="J39" s="493"/>
    </row>
    <row r="40" spans="1:10" ht="17.25" customHeight="1" x14ac:dyDescent="0.25">
      <c r="A40" s="459" t="s">
        <v>967</v>
      </c>
      <c r="B40" s="422" t="s">
        <v>968</v>
      </c>
      <c r="C40" s="445" t="s">
        <v>969</v>
      </c>
      <c r="D40" s="443" t="s">
        <v>41</v>
      </c>
      <c r="E40" s="461">
        <v>12.92</v>
      </c>
      <c r="F40" s="516">
        <v>0.3</v>
      </c>
      <c r="G40" s="446">
        <f t="shared" si="1"/>
        <v>3.88</v>
      </c>
      <c r="H40" s="464">
        <f>G40*3.322</f>
        <v>12.89</v>
      </c>
      <c r="I40" s="463">
        <f>ROUND(H40*1.25,2)</f>
        <v>16.11</v>
      </c>
      <c r="J40" s="463">
        <f>ROUND(H40*1.298,1)</f>
        <v>16.7</v>
      </c>
    </row>
    <row r="41" spans="1:10" ht="18" customHeight="1" x14ac:dyDescent="0.25">
      <c r="A41" s="459" t="s">
        <v>970</v>
      </c>
      <c r="B41" s="422" t="s">
        <v>971</v>
      </c>
      <c r="C41" s="445" t="s">
        <v>972</v>
      </c>
      <c r="D41" s="443" t="s">
        <v>290</v>
      </c>
      <c r="E41" s="461">
        <v>11.84</v>
      </c>
      <c r="F41" s="516">
        <v>0.25</v>
      </c>
      <c r="G41" s="446">
        <f t="shared" si="1"/>
        <v>2.96</v>
      </c>
      <c r="H41" s="464">
        <f>G41*3.322</f>
        <v>9.83</v>
      </c>
      <c r="I41" s="463">
        <f>ROUND(H41*1.25,2)</f>
        <v>12.29</v>
      </c>
      <c r="J41" s="463">
        <f>ROUND(H41*1.298,1)</f>
        <v>12.8</v>
      </c>
    </row>
    <row r="42" spans="1:10" x14ac:dyDescent="0.25">
      <c r="A42" s="459"/>
      <c r="B42" s="422" t="s">
        <v>973</v>
      </c>
      <c r="C42" s="445"/>
      <c r="D42" s="494"/>
      <c r="E42" s="511"/>
      <c r="F42" s="516"/>
      <c r="G42" s="446"/>
      <c r="H42" s="464"/>
      <c r="I42" s="463"/>
      <c r="J42" s="493"/>
    </row>
    <row r="43" spans="1:10" x14ac:dyDescent="0.25">
      <c r="A43" s="459"/>
      <c r="B43" s="422" t="s">
        <v>974</v>
      </c>
      <c r="C43" s="445"/>
      <c r="D43" s="494"/>
      <c r="E43" s="511"/>
      <c r="F43" s="516"/>
      <c r="G43" s="446"/>
      <c r="H43" s="464"/>
      <c r="I43" s="463"/>
      <c r="J43" s="493"/>
    </row>
    <row r="44" spans="1:10" ht="18" customHeight="1" x14ac:dyDescent="0.25">
      <c r="A44" s="459" t="s">
        <v>975</v>
      </c>
      <c r="B44" s="422" t="s">
        <v>976</v>
      </c>
      <c r="C44" s="445" t="s">
        <v>45</v>
      </c>
      <c r="D44" s="443" t="s">
        <v>290</v>
      </c>
      <c r="E44" s="511">
        <v>11.84</v>
      </c>
      <c r="F44" s="516">
        <v>0.35</v>
      </c>
      <c r="G44" s="446">
        <f t="shared" ref="G44:G53" si="2">E44*F44</f>
        <v>4.1399999999999997</v>
      </c>
      <c r="H44" s="464">
        <f>G44*3.322</f>
        <v>13.75</v>
      </c>
      <c r="I44" s="463">
        <f>ROUND(H44*1.25,2)</f>
        <v>17.190000000000001</v>
      </c>
      <c r="J44" s="463">
        <f>ROUND(H44*1.298,1)</f>
        <v>17.8</v>
      </c>
    </row>
    <row r="45" spans="1:10" ht="18" customHeight="1" x14ac:dyDescent="0.25">
      <c r="A45" s="459" t="s">
        <v>977</v>
      </c>
      <c r="B45" s="422" t="s">
        <v>978</v>
      </c>
      <c r="C45" s="445" t="s">
        <v>45</v>
      </c>
      <c r="D45" s="443" t="s">
        <v>290</v>
      </c>
      <c r="E45" s="511">
        <v>11.84</v>
      </c>
      <c r="F45" s="516">
        <v>0.15</v>
      </c>
      <c r="G45" s="446">
        <f t="shared" si="2"/>
        <v>1.78</v>
      </c>
      <c r="H45" s="464">
        <f>G45*3.322</f>
        <v>5.91</v>
      </c>
      <c r="I45" s="463">
        <f>ROUND(H45*1.25,2)</f>
        <v>7.39</v>
      </c>
      <c r="J45" s="463">
        <f>ROUND(H45*1.298,1)</f>
        <v>7.7</v>
      </c>
    </row>
    <row r="46" spans="1:10" ht="18" customHeight="1" x14ac:dyDescent="0.25">
      <c r="A46" s="459" t="s">
        <v>979</v>
      </c>
      <c r="B46" s="422" t="s">
        <v>980</v>
      </c>
      <c r="C46" s="445" t="s">
        <v>981</v>
      </c>
      <c r="D46" s="443" t="s">
        <v>290</v>
      </c>
      <c r="E46" s="461">
        <v>11.84</v>
      </c>
      <c r="F46" s="516">
        <v>0.16</v>
      </c>
      <c r="G46" s="446">
        <f t="shared" si="2"/>
        <v>1.89</v>
      </c>
      <c r="H46" s="464">
        <f>G46*3.322+G47*3.322</f>
        <v>13.16</v>
      </c>
      <c r="I46" s="463">
        <f>ROUND(H46*1.25,2)</f>
        <v>16.45</v>
      </c>
      <c r="J46" s="463"/>
    </row>
    <row r="47" spans="1:10" x14ac:dyDescent="0.25">
      <c r="A47" s="459"/>
      <c r="B47" s="422" t="s">
        <v>982</v>
      </c>
      <c r="C47" s="445"/>
      <c r="D47" s="443" t="s">
        <v>41</v>
      </c>
      <c r="E47" s="461">
        <v>12.92</v>
      </c>
      <c r="F47" s="516">
        <v>0.16</v>
      </c>
      <c r="G47" s="446">
        <f t="shared" si="2"/>
        <v>2.0699999999999998</v>
      </c>
      <c r="H47" s="464"/>
      <c r="I47" s="463"/>
      <c r="J47" s="463"/>
    </row>
    <row r="48" spans="1:10" ht="17.25" customHeight="1" x14ac:dyDescent="0.25">
      <c r="A48" s="459" t="s">
        <v>983</v>
      </c>
      <c r="B48" s="422" t="s">
        <v>984</v>
      </c>
      <c r="C48" s="445" t="s">
        <v>45</v>
      </c>
      <c r="D48" s="443" t="s">
        <v>290</v>
      </c>
      <c r="E48" s="461">
        <v>11.84</v>
      </c>
      <c r="F48" s="516">
        <v>0.21</v>
      </c>
      <c r="G48" s="446">
        <f t="shared" si="2"/>
        <v>2.4900000000000002</v>
      </c>
      <c r="H48" s="464">
        <f>G48*3.322+G49*3.322</f>
        <v>17.27</v>
      </c>
      <c r="I48" s="463">
        <f>ROUND(H48*1.25,2)</f>
        <v>21.59</v>
      </c>
      <c r="J48" s="463">
        <f>ROUND(H48*1.298,1)</f>
        <v>22.4</v>
      </c>
    </row>
    <row r="49" spans="1:10" ht="12" customHeight="1" x14ac:dyDescent="0.25">
      <c r="A49" s="459"/>
      <c r="C49" s="445"/>
      <c r="D49" s="443" t="s">
        <v>41</v>
      </c>
      <c r="E49" s="461">
        <v>12.92</v>
      </c>
      <c r="F49" s="516">
        <v>0.21</v>
      </c>
      <c r="G49" s="446">
        <f t="shared" si="2"/>
        <v>2.71</v>
      </c>
      <c r="H49" s="472"/>
      <c r="I49" s="463"/>
      <c r="J49" s="493"/>
    </row>
    <row r="50" spans="1:10" ht="18" customHeight="1" x14ac:dyDescent="0.25">
      <c r="A50" s="459" t="s">
        <v>985</v>
      </c>
      <c r="B50" s="422" t="s">
        <v>986</v>
      </c>
      <c r="C50" s="445" t="s">
        <v>45</v>
      </c>
      <c r="D50" s="443" t="s">
        <v>290</v>
      </c>
      <c r="E50" s="461">
        <v>11.84</v>
      </c>
      <c r="F50" s="516">
        <v>0.18</v>
      </c>
      <c r="G50" s="446">
        <f t="shared" si="2"/>
        <v>2.13</v>
      </c>
      <c r="H50" s="464">
        <f>G50*3.322+G51*3.322</f>
        <v>14.82</v>
      </c>
      <c r="I50" s="463">
        <f>ROUND(H50*1.25,2)</f>
        <v>18.53</v>
      </c>
      <c r="J50" s="463"/>
    </row>
    <row r="51" spans="1:10" x14ac:dyDescent="0.25">
      <c r="A51" s="459"/>
      <c r="B51" s="422" t="s">
        <v>987</v>
      </c>
      <c r="C51" s="445"/>
      <c r="D51" s="443" t="s">
        <v>41</v>
      </c>
      <c r="E51" s="461">
        <v>12.92</v>
      </c>
      <c r="F51" s="516">
        <v>0.18</v>
      </c>
      <c r="G51" s="446">
        <f t="shared" si="2"/>
        <v>2.33</v>
      </c>
      <c r="H51" s="464"/>
      <c r="I51" s="463"/>
      <c r="J51" s="493"/>
    </row>
    <row r="52" spans="1:10" ht="18" customHeight="1" x14ac:dyDescent="0.25">
      <c r="A52" s="459" t="s">
        <v>988</v>
      </c>
      <c r="B52" s="422" t="s">
        <v>989</v>
      </c>
      <c r="C52" s="445" t="s">
        <v>990</v>
      </c>
      <c r="D52" s="443" t="s">
        <v>41</v>
      </c>
      <c r="E52" s="461">
        <v>12.92</v>
      </c>
      <c r="F52" s="516">
        <v>3.1</v>
      </c>
      <c r="G52" s="446">
        <f t="shared" si="2"/>
        <v>40.049999999999997</v>
      </c>
      <c r="H52" s="464">
        <f>G52*3.322+G53*3.322</f>
        <v>282.67</v>
      </c>
      <c r="I52" s="463">
        <f>ROUND(H52*1.25,2)</f>
        <v>353.34</v>
      </c>
      <c r="J52" s="463"/>
    </row>
    <row r="53" spans="1:10" x14ac:dyDescent="0.25">
      <c r="A53" s="459"/>
      <c r="C53" s="445"/>
      <c r="D53" s="443" t="s">
        <v>42</v>
      </c>
      <c r="E53" s="461">
        <v>14.53</v>
      </c>
      <c r="F53" s="516">
        <v>3.1</v>
      </c>
      <c r="G53" s="446">
        <f t="shared" si="2"/>
        <v>45.04</v>
      </c>
      <c r="H53" s="464"/>
      <c r="I53" s="463"/>
      <c r="J53" s="463"/>
    </row>
    <row r="54" spans="1:10" x14ac:dyDescent="0.25">
      <c r="A54" s="459"/>
      <c r="B54" s="422" t="s">
        <v>991</v>
      </c>
      <c r="C54" s="445"/>
      <c r="D54" s="443"/>
      <c r="E54" s="461"/>
      <c r="F54" s="516"/>
      <c r="G54" s="446"/>
      <c r="H54" s="464"/>
      <c r="I54" s="463"/>
      <c r="J54" s="463"/>
    </row>
    <row r="55" spans="1:10" x14ac:dyDescent="0.25">
      <c r="A55" s="459"/>
      <c r="B55" s="422" t="s">
        <v>992</v>
      </c>
      <c r="C55" s="445"/>
      <c r="D55" s="443"/>
      <c r="E55" s="461"/>
      <c r="F55" s="516"/>
      <c r="G55" s="446"/>
      <c r="H55" s="464"/>
      <c r="I55" s="463"/>
      <c r="J55" s="463"/>
    </row>
    <row r="56" spans="1:10" ht="18" customHeight="1" x14ac:dyDescent="0.25">
      <c r="A56" s="459" t="s">
        <v>993</v>
      </c>
      <c r="B56" s="490" t="s">
        <v>994</v>
      </c>
      <c r="C56" s="445" t="s">
        <v>45</v>
      </c>
      <c r="D56" s="443" t="s">
        <v>41</v>
      </c>
      <c r="E56" s="461">
        <v>12.92</v>
      </c>
      <c r="F56" s="516">
        <v>0.48</v>
      </c>
      <c r="G56" s="446">
        <f>E56*F56</f>
        <v>6.2</v>
      </c>
      <c r="H56" s="464">
        <f>G56*3.322+G57*3.322</f>
        <v>43.75</v>
      </c>
      <c r="I56" s="463">
        <f>ROUND(H56*1.25,2)</f>
        <v>54.69</v>
      </c>
      <c r="J56" s="463"/>
    </row>
    <row r="57" spans="1:10" x14ac:dyDescent="0.25">
      <c r="A57" s="459"/>
      <c r="C57" s="445"/>
      <c r="D57" s="443" t="s">
        <v>42</v>
      </c>
      <c r="E57" s="461">
        <v>14.53</v>
      </c>
      <c r="F57" s="516">
        <v>0.48</v>
      </c>
      <c r="G57" s="446">
        <f>E57*F57</f>
        <v>6.97</v>
      </c>
      <c r="H57" s="464"/>
      <c r="I57" s="463"/>
      <c r="J57" s="463"/>
    </row>
    <row r="58" spans="1:10" ht="18" customHeight="1" x14ac:dyDescent="0.25">
      <c r="A58" s="459" t="s">
        <v>995</v>
      </c>
      <c r="B58" s="502" t="s">
        <v>996</v>
      </c>
      <c r="C58" s="445" t="s">
        <v>73</v>
      </c>
      <c r="D58" s="443" t="s">
        <v>41</v>
      </c>
      <c r="E58" s="511">
        <v>12.92</v>
      </c>
      <c r="F58" s="516">
        <v>0.88</v>
      </c>
      <c r="G58" s="446">
        <f>E58*F58</f>
        <v>11.37</v>
      </c>
      <c r="H58" s="464">
        <f>G58*3.322</f>
        <v>37.770000000000003</v>
      </c>
      <c r="I58" s="463">
        <f>ROUND(H58*1.25,2)</f>
        <v>47.21</v>
      </c>
      <c r="J58" s="463"/>
    </row>
    <row r="59" spans="1:10" ht="12" customHeight="1" x14ac:dyDescent="0.25">
      <c r="A59" s="459"/>
      <c r="B59" s="502" t="s">
        <v>997</v>
      </c>
      <c r="C59" s="445"/>
      <c r="D59" s="483"/>
      <c r="E59" s="511"/>
      <c r="F59" s="516"/>
      <c r="G59" s="446"/>
      <c r="H59" s="464"/>
      <c r="I59" s="463"/>
      <c r="J59" s="466"/>
    </row>
    <row r="60" spans="1:10" ht="12" customHeight="1" x14ac:dyDescent="0.25">
      <c r="A60" s="459"/>
      <c r="B60" s="422" t="s">
        <v>998</v>
      </c>
      <c r="C60" s="445"/>
      <c r="D60" s="494"/>
      <c r="E60" s="511"/>
      <c r="F60" s="516"/>
      <c r="G60" s="517"/>
      <c r="H60" s="464"/>
      <c r="I60" s="463"/>
      <c r="J60" s="493"/>
    </row>
    <row r="61" spans="1:10" ht="18" customHeight="1" x14ac:dyDescent="0.25">
      <c r="A61" s="459" t="s">
        <v>999</v>
      </c>
      <c r="B61" s="422" t="s">
        <v>1000</v>
      </c>
      <c r="C61" s="445" t="s">
        <v>913</v>
      </c>
      <c r="D61" s="443" t="s">
        <v>41</v>
      </c>
      <c r="E61" s="511">
        <v>12.92</v>
      </c>
      <c r="F61" s="516">
        <v>2.13</v>
      </c>
      <c r="G61" s="446">
        <f>E61*F61</f>
        <v>27.52</v>
      </c>
      <c r="H61" s="464">
        <f>G61*3.322</f>
        <v>91.42</v>
      </c>
      <c r="I61" s="463">
        <f>ROUND(H61*1.25,2)</f>
        <v>114.28</v>
      </c>
      <c r="J61" s="463"/>
    </row>
    <row r="62" spans="1:10" x14ac:dyDescent="0.25">
      <c r="A62" s="459"/>
      <c r="B62" s="422" t="s">
        <v>1001</v>
      </c>
      <c r="C62" s="445"/>
      <c r="D62" s="494"/>
      <c r="E62" s="511"/>
      <c r="F62" s="516"/>
      <c r="G62" s="446"/>
      <c r="H62" s="464"/>
      <c r="I62" s="463"/>
      <c r="J62" s="493"/>
    </row>
    <row r="63" spans="1:10" ht="18" customHeight="1" x14ac:dyDescent="0.25">
      <c r="A63" s="459" t="s">
        <v>1002</v>
      </c>
      <c r="B63" s="502" t="s">
        <v>996</v>
      </c>
      <c r="C63" s="445" t="s">
        <v>73</v>
      </c>
      <c r="D63" s="443" t="s">
        <v>41</v>
      </c>
      <c r="E63" s="511">
        <v>12.92</v>
      </c>
      <c r="F63" s="516">
        <v>1.0900000000000001</v>
      </c>
      <c r="G63" s="446">
        <f>E63*F63</f>
        <v>14.08</v>
      </c>
      <c r="H63" s="464">
        <f>G63*3.322</f>
        <v>46.77</v>
      </c>
      <c r="I63" s="463">
        <f>ROUND(H63*1.25,2)</f>
        <v>58.46</v>
      </c>
      <c r="J63" s="463"/>
    </row>
    <row r="64" spans="1:10" x14ac:dyDescent="0.25">
      <c r="A64" s="459"/>
      <c r="B64" s="502" t="s">
        <v>997</v>
      </c>
      <c r="C64" s="445"/>
      <c r="D64" s="494"/>
      <c r="E64" s="511"/>
      <c r="F64" s="516"/>
      <c r="G64" s="517"/>
      <c r="H64" s="464"/>
      <c r="I64" s="463"/>
      <c r="J64" s="493"/>
    </row>
    <row r="65" spans="1:10" x14ac:dyDescent="0.25">
      <c r="A65" s="459"/>
      <c r="B65" s="422" t="s">
        <v>1003</v>
      </c>
      <c r="C65" s="445"/>
      <c r="D65" s="494"/>
      <c r="E65" s="511"/>
      <c r="F65" s="534"/>
      <c r="G65" s="517"/>
      <c r="H65" s="464"/>
      <c r="I65" s="463"/>
      <c r="J65" s="493"/>
    </row>
    <row r="66" spans="1:10" ht="18" customHeight="1" x14ac:dyDescent="0.25">
      <c r="A66" s="459" t="s">
        <v>1004</v>
      </c>
      <c r="B66" s="422" t="s">
        <v>1005</v>
      </c>
      <c r="C66" s="445" t="s">
        <v>45</v>
      </c>
      <c r="D66" s="443" t="s">
        <v>41</v>
      </c>
      <c r="E66" s="511">
        <v>12.92</v>
      </c>
      <c r="F66" s="534">
        <v>1.31</v>
      </c>
      <c r="G66" s="446">
        <f>E66*F66</f>
        <v>16.93</v>
      </c>
      <c r="H66" s="464">
        <f>G66*3.322</f>
        <v>56.24</v>
      </c>
      <c r="I66" s="463">
        <f>ROUND(H66*1.25,2)</f>
        <v>70.3</v>
      </c>
      <c r="J66" s="463"/>
    </row>
    <row r="67" spans="1:10" ht="20.25" customHeight="1" x14ac:dyDescent="0.25">
      <c r="A67" s="459" t="s">
        <v>1006</v>
      </c>
      <c r="B67" s="502" t="s">
        <v>996</v>
      </c>
      <c r="C67" s="445" t="s">
        <v>913</v>
      </c>
      <c r="D67" s="443" t="s">
        <v>41</v>
      </c>
      <c r="E67" s="511">
        <v>12.92</v>
      </c>
      <c r="F67" s="535">
        <v>2.4900000000000002</v>
      </c>
      <c r="G67" s="446">
        <f>E67*F67</f>
        <v>32.17</v>
      </c>
      <c r="H67" s="464">
        <f>G67*3.322</f>
        <v>106.87</v>
      </c>
      <c r="I67" s="463">
        <f>ROUND(H67*1.25,2)</f>
        <v>133.59</v>
      </c>
      <c r="J67" s="463"/>
    </row>
    <row r="68" spans="1:10" ht="12.75" customHeight="1" x14ac:dyDescent="0.25">
      <c r="A68" s="459"/>
      <c r="B68" s="502" t="s">
        <v>997</v>
      </c>
      <c r="C68" s="445"/>
      <c r="D68" s="483"/>
      <c r="E68" s="511"/>
      <c r="F68" s="535"/>
      <c r="G68" s="448"/>
      <c r="H68" s="466"/>
      <c r="I68" s="466"/>
      <c r="J68" s="466"/>
    </row>
    <row r="69" spans="1:10" x14ac:dyDescent="0.25">
      <c r="A69" s="481"/>
      <c r="B69" s="422" t="s">
        <v>1007</v>
      </c>
      <c r="C69" s="515"/>
      <c r="E69" s="509"/>
      <c r="F69" s="536"/>
      <c r="G69" s="460"/>
      <c r="H69" s="493"/>
      <c r="I69" s="493"/>
      <c r="J69" s="493"/>
    </row>
    <row r="70" spans="1:10" ht="18" customHeight="1" x14ac:dyDescent="0.25">
      <c r="A70" s="459" t="s">
        <v>1008</v>
      </c>
      <c r="B70" s="422" t="s">
        <v>1009</v>
      </c>
      <c r="C70" s="445" t="s">
        <v>913</v>
      </c>
      <c r="D70" s="443" t="s">
        <v>41</v>
      </c>
      <c r="E70" s="511">
        <v>12.92</v>
      </c>
      <c r="F70" s="513">
        <v>2.85</v>
      </c>
      <c r="G70" s="446">
        <f>E70*F70</f>
        <v>36.82</v>
      </c>
      <c r="H70" s="464">
        <f>G70*3.322</f>
        <v>122.32</v>
      </c>
      <c r="I70" s="463">
        <f>ROUND(H70*1.25,2)</f>
        <v>152.9</v>
      </c>
      <c r="J70" s="463"/>
    </row>
    <row r="71" spans="1:10" ht="18" customHeight="1" x14ac:dyDescent="0.25">
      <c r="A71" s="459" t="s">
        <v>1010</v>
      </c>
      <c r="B71" s="422" t="s">
        <v>1011</v>
      </c>
      <c r="C71" s="445" t="s">
        <v>45</v>
      </c>
      <c r="D71" s="443" t="s">
        <v>41</v>
      </c>
      <c r="E71" s="511">
        <v>12.92</v>
      </c>
      <c r="F71" s="513">
        <v>3.21</v>
      </c>
      <c r="G71" s="446">
        <f>E71*F71</f>
        <v>41.47</v>
      </c>
      <c r="H71" s="464">
        <f>G71*3.322</f>
        <v>137.76</v>
      </c>
      <c r="I71" s="463">
        <f>ROUND(H71*1.25,2)</f>
        <v>172.2</v>
      </c>
      <c r="J71" s="463"/>
    </row>
    <row r="72" spans="1:10" ht="18" customHeight="1" x14ac:dyDescent="0.25">
      <c r="A72" s="459" t="s">
        <v>1012</v>
      </c>
      <c r="B72" s="422" t="s">
        <v>1013</v>
      </c>
      <c r="C72" s="445"/>
      <c r="D72" s="494"/>
      <c r="E72" s="511"/>
      <c r="F72" s="516"/>
      <c r="G72" s="517"/>
      <c r="H72" s="472"/>
      <c r="I72" s="463"/>
      <c r="J72" s="493"/>
    </row>
    <row r="73" spans="1:10" x14ac:dyDescent="0.25">
      <c r="A73" s="459"/>
      <c r="B73" s="422" t="s">
        <v>1014</v>
      </c>
      <c r="C73" s="445" t="s">
        <v>45</v>
      </c>
      <c r="D73" s="443" t="s">
        <v>41</v>
      </c>
      <c r="E73" s="511">
        <v>12.92</v>
      </c>
      <c r="F73" s="516">
        <v>0.96</v>
      </c>
      <c r="G73" s="446">
        <f>E73*F73</f>
        <v>12.4</v>
      </c>
      <c r="H73" s="464">
        <f>G73*3.322</f>
        <v>41.19</v>
      </c>
      <c r="I73" s="463">
        <f>ROUND(H73*1.25,2)</f>
        <v>51.49</v>
      </c>
      <c r="J73" s="463">
        <f>ROUND(H73*1.298,1)</f>
        <v>53.5</v>
      </c>
    </row>
    <row r="74" spans="1:10" x14ac:dyDescent="0.25">
      <c r="A74" s="459"/>
      <c r="B74" s="421" t="s">
        <v>1015</v>
      </c>
      <c r="C74" s="445" t="s">
        <v>45</v>
      </c>
      <c r="D74" s="443" t="s">
        <v>41</v>
      </c>
      <c r="E74" s="511">
        <v>12.92</v>
      </c>
      <c r="F74" s="516">
        <v>1.2</v>
      </c>
      <c r="G74" s="446">
        <f>E74*F74</f>
        <v>15.5</v>
      </c>
      <c r="H74" s="464">
        <f>G74*3.322</f>
        <v>51.49</v>
      </c>
      <c r="I74" s="463">
        <f>ROUND(H74*1.25,2)</f>
        <v>64.36</v>
      </c>
      <c r="J74" s="463">
        <f>ROUND(H74*1.298,1)</f>
        <v>66.8</v>
      </c>
    </row>
    <row r="75" spans="1:10" ht="18" customHeight="1" x14ac:dyDescent="0.25">
      <c r="A75" s="459" t="s">
        <v>1016</v>
      </c>
      <c r="B75" s="422" t="s">
        <v>1017</v>
      </c>
      <c r="C75" s="445" t="s">
        <v>932</v>
      </c>
      <c r="D75" s="443" t="s">
        <v>41</v>
      </c>
      <c r="E75" s="511">
        <v>12.92</v>
      </c>
      <c r="F75" s="516">
        <v>0.53</v>
      </c>
      <c r="G75" s="446">
        <f>E75*F75</f>
        <v>6.85</v>
      </c>
      <c r="H75" s="464">
        <f>G75*3.322</f>
        <v>22.76</v>
      </c>
      <c r="I75" s="463">
        <f>ROUND(H75*1.25,2)</f>
        <v>28.45</v>
      </c>
      <c r="J75" s="463">
        <f>ROUND(H75*1.298,1)</f>
        <v>29.5</v>
      </c>
    </row>
    <row r="76" spans="1:10" x14ac:dyDescent="0.25">
      <c r="A76" s="459"/>
      <c r="B76" s="422" t="s">
        <v>1018</v>
      </c>
      <c r="C76" s="445"/>
      <c r="D76" s="494"/>
      <c r="E76" s="511"/>
      <c r="F76" s="516"/>
      <c r="G76" s="446"/>
      <c r="H76" s="464"/>
      <c r="I76" s="463"/>
      <c r="J76" s="493"/>
    </row>
    <row r="77" spans="1:10" x14ac:dyDescent="0.25">
      <c r="A77" s="459"/>
      <c r="B77" s="521" t="s">
        <v>1019</v>
      </c>
      <c r="C77" s="445"/>
      <c r="D77" s="494"/>
      <c r="E77" s="511"/>
      <c r="F77" s="516"/>
      <c r="G77" s="446"/>
      <c r="H77" s="464"/>
      <c r="I77" s="463"/>
      <c r="J77" s="493"/>
    </row>
    <row r="78" spans="1:10" x14ac:dyDescent="0.25">
      <c r="A78" s="459"/>
      <c r="B78" s="422" t="s">
        <v>1020</v>
      </c>
      <c r="C78" s="445"/>
      <c r="D78" s="494"/>
      <c r="E78" s="511"/>
      <c r="F78" s="516"/>
      <c r="G78" s="446"/>
      <c r="H78" s="464"/>
      <c r="I78" s="463"/>
      <c r="J78" s="493"/>
    </row>
    <row r="79" spans="1:10" ht="18" customHeight="1" x14ac:dyDescent="0.25">
      <c r="A79" s="459" t="s">
        <v>1021</v>
      </c>
      <c r="B79" s="422" t="s">
        <v>1022</v>
      </c>
      <c r="C79" s="445" t="s">
        <v>45</v>
      </c>
      <c r="D79" s="443" t="s">
        <v>41</v>
      </c>
      <c r="E79" s="511">
        <v>12.92</v>
      </c>
      <c r="F79" s="516">
        <v>2</v>
      </c>
      <c r="G79" s="446">
        <f>E79*F79</f>
        <v>25.84</v>
      </c>
      <c r="H79" s="464">
        <f>G79*3.322</f>
        <v>85.84</v>
      </c>
      <c r="I79" s="463">
        <f>ROUND(H79*1.25,2)</f>
        <v>107.3</v>
      </c>
      <c r="J79" s="463">
        <f>ROUND(H79*1.298,1)</f>
        <v>111.4</v>
      </c>
    </row>
    <row r="80" spans="1:10" ht="18" customHeight="1" x14ac:dyDescent="0.25">
      <c r="A80" s="459" t="s">
        <v>1023</v>
      </c>
      <c r="B80" s="422" t="s">
        <v>1017</v>
      </c>
      <c r="C80" s="445" t="s">
        <v>45</v>
      </c>
      <c r="D80" s="443" t="s">
        <v>41</v>
      </c>
      <c r="E80" s="511">
        <v>12.92</v>
      </c>
      <c r="F80" s="516">
        <v>0.72</v>
      </c>
      <c r="G80" s="446">
        <f>E80*F80</f>
        <v>9.3000000000000007</v>
      </c>
      <c r="H80" s="464">
        <f>G80*3.322</f>
        <v>30.89</v>
      </c>
      <c r="I80" s="463">
        <f>ROUND(H80*1.25,2)</f>
        <v>38.61</v>
      </c>
      <c r="J80" s="463">
        <f>ROUND(H80*1.298,1)</f>
        <v>40.1</v>
      </c>
    </row>
    <row r="81" spans="1:10" x14ac:dyDescent="0.25">
      <c r="A81" s="459"/>
      <c r="B81" s="422" t="s">
        <v>1024</v>
      </c>
      <c r="C81" s="445"/>
      <c r="D81" s="494"/>
      <c r="E81" s="511"/>
      <c r="F81" s="516"/>
      <c r="G81" s="446"/>
      <c r="H81" s="464"/>
      <c r="I81" s="463"/>
      <c r="J81" s="493"/>
    </row>
    <row r="82" spans="1:10" x14ac:dyDescent="0.25">
      <c r="A82" s="459"/>
      <c r="B82" s="521" t="s">
        <v>1025</v>
      </c>
      <c r="C82" s="445"/>
      <c r="D82" s="494"/>
      <c r="E82" s="511"/>
      <c r="F82" s="516"/>
      <c r="G82" s="446"/>
      <c r="H82" s="464"/>
      <c r="I82" s="463"/>
      <c r="J82" s="493"/>
    </row>
    <row r="83" spans="1:10" x14ac:dyDescent="0.25">
      <c r="A83" s="459"/>
      <c r="B83" s="422" t="s">
        <v>1020</v>
      </c>
      <c r="C83" s="445"/>
      <c r="D83" s="494"/>
      <c r="E83" s="511"/>
      <c r="F83" s="516"/>
      <c r="G83" s="446"/>
      <c r="H83" s="464"/>
      <c r="I83" s="463"/>
      <c r="J83" s="493"/>
    </row>
    <row r="84" spans="1:10" ht="18" customHeight="1" x14ac:dyDescent="0.25">
      <c r="A84" s="510" t="s">
        <v>1026</v>
      </c>
      <c r="B84" s="422" t="s">
        <v>1022</v>
      </c>
      <c r="C84" s="445" t="s">
        <v>45</v>
      </c>
      <c r="D84" s="443" t="s">
        <v>41</v>
      </c>
      <c r="E84" s="511">
        <v>12.92</v>
      </c>
      <c r="F84" s="516">
        <v>2.7</v>
      </c>
      <c r="G84" s="446">
        <f>E84*F84</f>
        <v>34.880000000000003</v>
      </c>
      <c r="H84" s="464">
        <f>G84*3.322</f>
        <v>115.87</v>
      </c>
      <c r="I84" s="463">
        <f>ROUND(H84*1.25,2)</f>
        <v>144.84</v>
      </c>
      <c r="J84" s="463">
        <f>ROUND(H84*1.298,1)</f>
        <v>150.4</v>
      </c>
    </row>
    <row r="85" spans="1:10" ht="18" customHeight="1" x14ac:dyDescent="0.25">
      <c r="A85" s="459" t="s">
        <v>1027</v>
      </c>
      <c r="B85" s="502" t="s">
        <v>1028</v>
      </c>
      <c r="C85" s="445" t="s">
        <v>73</v>
      </c>
      <c r="D85" s="443" t="s">
        <v>41</v>
      </c>
      <c r="E85" s="511">
        <v>12.92</v>
      </c>
      <c r="F85" s="516">
        <v>0.65</v>
      </c>
      <c r="G85" s="446">
        <f>E85*F85</f>
        <v>8.4</v>
      </c>
      <c r="H85" s="464">
        <f>G85*3.322</f>
        <v>27.9</v>
      </c>
      <c r="I85" s="463">
        <f>ROUND(H85*1.25,2)</f>
        <v>34.880000000000003</v>
      </c>
      <c r="J85" s="463">
        <f>ROUND(H85*1.298,1)</f>
        <v>36.200000000000003</v>
      </c>
    </row>
    <row r="86" spans="1:10" x14ac:dyDescent="0.25">
      <c r="A86" s="459"/>
      <c r="B86" s="422" t="s">
        <v>1029</v>
      </c>
      <c r="C86" s="445" t="s">
        <v>45</v>
      </c>
      <c r="D86" s="494" t="s">
        <v>45</v>
      </c>
      <c r="E86" s="511">
        <v>12.92</v>
      </c>
      <c r="F86" s="516">
        <v>0.81</v>
      </c>
      <c r="G86" s="446">
        <f>E86*F86</f>
        <v>10.47</v>
      </c>
      <c r="H86" s="464">
        <f>G86*3.322</f>
        <v>34.78</v>
      </c>
      <c r="I86" s="463">
        <f>ROUND(H86*1.25,2)</f>
        <v>43.48</v>
      </c>
      <c r="J86" s="463">
        <f>ROUND(H86*1.298,1)</f>
        <v>45.1</v>
      </c>
    </row>
    <row r="87" spans="1:10" ht="18" customHeight="1" x14ac:dyDescent="0.25">
      <c r="A87" s="510" t="s">
        <v>1030</v>
      </c>
      <c r="B87" s="422" t="s">
        <v>1031</v>
      </c>
      <c r="C87" s="445" t="s">
        <v>932</v>
      </c>
      <c r="D87" s="443" t="s">
        <v>41</v>
      </c>
      <c r="E87" s="461">
        <v>12.92</v>
      </c>
      <c r="F87" s="516">
        <v>1</v>
      </c>
      <c r="G87" s="446">
        <f>E87*F87</f>
        <v>12.92</v>
      </c>
      <c r="H87" s="464">
        <f>G87*3.322</f>
        <v>42.92</v>
      </c>
      <c r="I87" s="463">
        <f>ROUND(H87*1.25,2)</f>
        <v>53.65</v>
      </c>
      <c r="J87" s="463">
        <f>ROUND(H87*1.298,1)</f>
        <v>55.7</v>
      </c>
    </row>
    <row r="88" spans="1:10" x14ac:dyDescent="0.25">
      <c r="A88" s="459"/>
      <c r="B88" s="422" t="s">
        <v>1032</v>
      </c>
      <c r="C88" s="445"/>
      <c r="D88" s="494"/>
      <c r="E88" s="511"/>
      <c r="F88" s="516"/>
      <c r="G88" s="446"/>
      <c r="H88" s="464"/>
      <c r="I88" s="463"/>
      <c r="J88" s="493"/>
    </row>
    <row r="89" spans="1:10" x14ac:dyDescent="0.25">
      <c r="A89" s="459"/>
      <c r="B89" s="422" t="s">
        <v>1033</v>
      </c>
      <c r="C89" s="445"/>
      <c r="D89" s="494"/>
      <c r="E89" s="511"/>
      <c r="F89" s="516"/>
      <c r="G89" s="446"/>
      <c r="H89" s="464"/>
      <c r="I89" s="463"/>
      <c r="J89" s="493"/>
    </row>
    <row r="90" spans="1:10" ht="18" customHeight="1" x14ac:dyDescent="0.25">
      <c r="A90" s="510" t="s">
        <v>1034</v>
      </c>
      <c r="B90" s="422" t="s">
        <v>1035</v>
      </c>
      <c r="C90" s="445" t="s">
        <v>1036</v>
      </c>
      <c r="D90" s="443" t="s">
        <v>290</v>
      </c>
      <c r="E90" s="461">
        <v>11.84</v>
      </c>
      <c r="F90" s="516">
        <v>0.3</v>
      </c>
      <c r="G90" s="446">
        <f>E90*F90</f>
        <v>3.55</v>
      </c>
      <c r="H90" s="464">
        <f>G90*3.322+G91*3.322</f>
        <v>24.68</v>
      </c>
      <c r="I90" s="463">
        <f>ROUND(H90*1.25,2)</f>
        <v>30.85</v>
      </c>
      <c r="J90" s="463">
        <f>ROUND(H90*1.298,1)</f>
        <v>32</v>
      </c>
    </row>
    <row r="91" spans="1:10" x14ac:dyDescent="0.25">
      <c r="A91" s="459"/>
      <c r="B91" s="422" t="s">
        <v>1037</v>
      </c>
      <c r="C91" s="445"/>
      <c r="D91" s="443" t="s">
        <v>41</v>
      </c>
      <c r="E91" s="461">
        <v>12.92</v>
      </c>
      <c r="F91" s="516">
        <v>0.3</v>
      </c>
      <c r="G91" s="446">
        <f>E91*F91</f>
        <v>3.88</v>
      </c>
      <c r="H91" s="464"/>
      <c r="I91" s="463"/>
      <c r="J91" s="493"/>
    </row>
    <row r="92" spans="1:10" x14ac:dyDescent="0.25">
      <c r="A92" s="459"/>
      <c r="B92" s="422" t="s">
        <v>1038</v>
      </c>
      <c r="C92" s="445"/>
      <c r="D92" s="483"/>
      <c r="E92" s="461"/>
      <c r="F92" s="516"/>
      <c r="G92" s="446"/>
      <c r="H92" s="464"/>
      <c r="I92" s="463"/>
      <c r="J92" s="493"/>
    </row>
    <row r="93" spans="1:10" ht="21" customHeight="1" x14ac:dyDescent="0.25">
      <c r="A93" s="510" t="s">
        <v>1039</v>
      </c>
      <c r="B93" s="422" t="s">
        <v>1040</v>
      </c>
      <c r="C93" s="445" t="s">
        <v>1041</v>
      </c>
      <c r="D93" s="494" t="s">
        <v>1042</v>
      </c>
      <c r="E93" s="512">
        <v>27.6</v>
      </c>
      <c r="F93" s="516">
        <v>0.5</v>
      </c>
      <c r="G93" s="446">
        <f>E93*F93</f>
        <v>13.8</v>
      </c>
      <c r="H93" s="464">
        <f>G93*3.322</f>
        <v>45.84</v>
      </c>
      <c r="I93" s="463">
        <f>ROUND(H93*1.25,2)</f>
        <v>57.3</v>
      </c>
      <c r="J93" s="463">
        <f>ROUND(H93*1.298,1)</f>
        <v>59.5</v>
      </c>
    </row>
    <row r="94" spans="1:10" x14ac:dyDescent="0.25">
      <c r="A94" s="459"/>
      <c r="B94" s="490" t="s">
        <v>1043</v>
      </c>
      <c r="C94" s="445"/>
      <c r="D94" s="494"/>
      <c r="E94" s="511"/>
      <c r="F94" s="516"/>
      <c r="G94" s="446"/>
      <c r="H94" s="464"/>
      <c r="I94" s="463"/>
      <c r="J94" s="493"/>
    </row>
    <row r="95" spans="1:10" ht="18" customHeight="1" x14ac:dyDescent="0.25">
      <c r="A95" s="459" t="s">
        <v>1044</v>
      </c>
      <c r="B95" s="430" t="s">
        <v>1045</v>
      </c>
      <c r="C95" s="445" t="s">
        <v>45</v>
      </c>
      <c r="D95" s="483" t="s">
        <v>1042</v>
      </c>
      <c r="E95" s="512">
        <v>27.6</v>
      </c>
      <c r="F95" s="516">
        <v>1.5</v>
      </c>
      <c r="G95" s="446">
        <f>E95*F95</f>
        <v>41.4</v>
      </c>
      <c r="H95" s="464">
        <f>G95*3.322</f>
        <v>137.53</v>
      </c>
      <c r="I95" s="463">
        <f>ROUND(H95*1.25,2)</f>
        <v>171.91</v>
      </c>
      <c r="J95" s="463">
        <f>ROUND(H95*1.298,1)</f>
        <v>178.5</v>
      </c>
    </row>
    <row r="96" spans="1:10" ht="8.25" customHeight="1" x14ac:dyDescent="0.25">
      <c r="A96" s="459"/>
      <c r="B96" s="430"/>
      <c r="C96" s="482"/>
      <c r="D96" s="483"/>
      <c r="E96" s="485"/>
      <c r="F96" s="486"/>
      <c r="G96" s="430"/>
      <c r="H96" s="430"/>
      <c r="I96" s="430"/>
      <c r="J96" s="460"/>
    </row>
    <row r="97" spans="1:10" x14ac:dyDescent="0.25">
      <c r="A97" s="459"/>
      <c r="B97" s="430" t="s">
        <v>1046</v>
      </c>
      <c r="C97" s="482"/>
      <c r="D97" s="483"/>
      <c r="E97" s="485"/>
      <c r="F97" s="486"/>
      <c r="G97" s="430"/>
      <c r="H97" s="430"/>
      <c r="I97" s="430"/>
      <c r="J97" s="460"/>
    </row>
    <row r="98" spans="1:10" x14ac:dyDescent="0.25">
      <c r="A98" s="459"/>
      <c r="B98" s="430" t="s">
        <v>1047</v>
      </c>
      <c r="C98" s="482"/>
      <c r="D98" s="483"/>
      <c r="E98" s="485"/>
      <c r="F98" s="486"/>
      <c r="G98" s="430"/>
      <c r="H98" s="430"/>
      <c r="I98" s="430"/>
      <c r="J98" s="460"/>
    </row>
    <row r="99" spans="1:10" x14ac:dyDescent="0.25">
      <c r="A99" s="459"/>
      <c r="B99" s="430" t="s">
        <v>1048</v>
      </c>
      <c r="C99" s="482"/>
      <c r="D99" s="483"/>
      <c r="E99" s="485"/>
      <c r="F99" s="486"/>
      <c r="G99" s="430"/>
      <c r="H99" s="430"/>
      <c r="I99" s="430"/>
      <c r="J99" s="460"/>
    </row>
    <row r="100" spans="1:10" x14ac:dyDescent="0.25">
      <c r="A100" s="459"/>
      <c r="B100" s="430" t="s">
        <v>1049</v>
      </c>
      <c r="C100" s="482"/>
      <c r="D100" s="483"/>
      <c r="E100" s="485"/>
      <c r="F100" s="486"/>
      <c r="G100" s="430"/>
      <c r="H100" s="430"/>
      <c r="I100" s="430"/>
      <c r="J100" s="460"/>
    </row>
    <row r="101" spans="1:10" x14ac:dyDescent="0.25">
      <c r="A101" s="459"/>
      <c r="B101" s="473" t="s">
        <v>1050</v>
      </c>
      <c r="C101" s="482"/>
      <c r="D101" s="483"/>
      <c r="E101" s="485"/>
      <c r="F101" s="486"/>
      <c r="G101" s="430"/>
      <c r="H101" s="430"/>
      <c r="I101" s="430"/>
      <c r="J101" s="460"/>
    </row>
    <row r="102" spans="1:10" x14ac:dyDescent="0.25">
      <c r="A102" s="459"/>
      <c r="B102" s="430" t="s">
        <v>1051</v>
      </c>
      <c r="C102" s="482"/>
      <c r="D102" s="483"/>
      <c r="E102" s="485"/>
      <c r="F102" s="486"/>
      <c r="G102" s="430"/>
      <c r="H102" s="430"/>
      <c r="I102" s="430"/>
      <c r="J102" s="460"/>
    </row>
    <row r="103" spans="1:10" ht="6" customHeight="1" x14ac:dyDescent="0.25">
      <c r="A103" s="503"/>
      <c r="B103" s="488"/>
      <c r="C103" s="504"/>
      <c r="D103" s="505"/>
      <c r="E103" s="537"/>
      <c r="F103" s="538"/>
      <c r="G103" s="488"/>
      <c r="H103" s="488"/>
      <c r="I103" s="488"/>
      <c r="J103" s="451"/>
    </row>
    <row r="104" spans="1:10" ht="11.25" customHeight="1" x14ac:dyDescent="0.25">
      <c r="A104" s="539"/>
      <c r="B104" s="430"/>
      <c r="C104" s="482"/>
      <c r="D104" s="483"/>
      <c r="E104" s="485"/>
      <c r="F104" s="486"/>
      <c r="G104" s="430"/>
      <c r="H104" s="430"/>
      <c r="I104" s="430"/>
      <c r="J104" s="430"/>
    </row>
    <row r="105" spans="1:10" ht="36.75" customHeight="1" x14ac:dyDescent="0.25">
      <c r="A105" s="424" t="s">
        <v>1052</v>
      </c>
      <c r="B105" s="491"/>
      <c r="C105" s="491"/>
      <c r="D105" s="540"/>
      <c r="E105" s="541"/>
      <c r="F105" s="542"/>
      <c r="G105" s="526"/>
      <c r="H105" s="526"/>
      <c r="I105" s="526"/>
      <c r="J105" s="491"/>
    </row>
    <row r="106" spans="1:10" ht="24" customHeight="1" x14ac:dyDescent="0.25">
      <c r="A106" s="424"/>
      <c r="B106" s="424"/>
      <c r="C106" s="424"/>
      <c r="D106" s="424"/>
      <c r="E106" s="426"/>
      <c r="F106" s="426"/>
    </row>
    <row r="107" spans="1:10" x14ac:dyDescent="0.25">
      <c r="A107" s="432" t="s">
        <v>273</v>
      </c>
      <c r="B107" s="433"/>
      <c r="C107" s="434" t="s">
        <v>274</v>
      </c>
      <c r="D107" s="435" t="s">
        <v>275</v>
      </c>
      <c r="E107" s="436" t="s">
        <v>276</v>
      </c>
      <c r="F107" s="437" t="s">
        <v>277</v>
      </c>
      <c r="G107" s="436" t="s">
        <v>278</v>
      </c>
      <c r="H107" s="438" t="s">
        <v>279</v>
      </c>
      <c r="I107" s="439" t="s">
        <v>378</v>
      </c>
      <c r="J107" s="440"/>
    </row>
    <row r="108" spans="1:10" x14ac:dyDescent="0.25">
      <c r="A108" s="441" t="s">
        <v>280</v>
      </c>
      <c r="B108" s="428"/>
      <c r="C108" s="442" t="s">
        <v>23</v>
      </c>
      <c r="D108" s="443" t="s">
        <v>281</v>
      </c>
      <c r="E108" s="444" t="s">
        <v>25</v>
      </c>
      <c r="F108" s="445" t="s">
        <v>26</v>
      </c>
      <c r="G108" s="444" t="s">
        <v>27</v>
      </c>
      <c r="H108" s="446" t="s">
        <v>282</v>
      </c>
      <c r="I108" s="438" t="s">
        <v>283</v>
      </c>
      <c r="J108" s="447" t="s">
        <v>284</v>
      </c>
    </row>
    <row r="109" spans="1:10" x14ac:dyDescent="0.25">
      <c r="A109" s="441"/>
      <c r="B109" s="428"/>
      <c r="C109" s="442"/>
      <c r="D109" s="443" t="s">
        <v>31</v>
      </c>
      <c r="E109" s="444" t="s">
        <v>32</v>
      </c>
      <c r="F109" s="445" t="s">
        <v>285</v>
      </c>
      <c r="G109" s="444" t="s">
        <v>34</v>
      </c>
      <c r="H109" s="446" t="s">
        <v>32</v>
      </c>
      <c r="I109" s="446" t="s">
        <v>286</v>
      </c>
      <c r="J109" s="448" t="s">
        <v>287</v>
      </c>
    </row>
    <row r="110" spans="1:10" x14ac:dyDescent="0.25">
      <c r="A110" s="449"/>
      <c r="B110" s="450"/>
      <c r="C110" s="451"/>
      <c r="D110" s="452"/>
      <c r="E110" s="453"/>
      <c r="F110" s="454" t="s">
        <v>36</v>
      </c>
      <c r="G110" s="455" t="s">
        <v>32</v>
      </c>
      <c r="H110" s="456"/>
      <c r="I110" s="457" t="s">
        <v>288</v>
      </c>
      <c r="J110" s="458" t="s">
        <v>289</v>
      </c>
    </row>
    <row r="111" spans="1:10" ht="25.5" customHeight="1" x14ac:dyDescent="0.25">
      <c r="A111" s="510" t="s">
        <v>1053</v>
      </c>
      <c r="B111" s="422" t="s">
        <v>1054</v>
      </c>
      <c r="C111" s="445" t="s">
        <v>920</v>
      </c>
      <c r="D111" s="443" t="s">
        <v>42</v>
      </c>
      <c r="E111" s="511">
        <v>14.53</v>
      </c>
      <c r="F111" s="516">
        <v>2.68</v>
      </c>
      <c r="G111" s="446">
        <f>E111*F111</f>
        <v>38.94</v>
      </c>
      <c r="H111" s="444">
        <f>G111*3.322+G112*3.322</f>
        <v>277.85000000000002</v>
      </c>
      <c r="I111" s="446">
        <f>ROUND(H111*1.25,2)</f>
        <v>347.31</v>
      </c>
      <c r="J111" s="460"/>
    </row>
    <row r="112" spans="1:10" ht="14.25" customHeight="1" x14ac:dyDescent="0.25">
      <c r="A112" s="459"/>
      <c r="B112" s="422" t="s">
        <v>1055</v>
      </c>
      <c r="C112" s="445"/>
      <c r="D112" s="443" t="s">
        <v>54</v>
      </c>
      <c r="E112" s="511">
        <v>16.68</v>
      </c>
      <c r="F112" s="516">
        <v>2.68</v>
      </c>
      <c r="G112" s="446">
        <f>E112*F112</f>
        <v>44.7</v>
      </c>
      <c r="H112" s="444"/>
      <c r="I112" s="446"/>
      <c r="J112" s="460"/>
    </row>
    <row r="113" spans="1:10" ht="12.75" customHeight="1" x14ac:dyDescent="0.25">
      <c r="A113" s="459"/>
      <c r="C113" s="445"/>
      <c r="D113" s="494"/>
      <c r="E113" s="511"/>
      <c r="F113" s="516"/>
      <c r="G113" s="446"/>
      <c r="H113" s="444"/>
      <c r="I113" s="446"/>
      <c r="J113" s="460"/>
    </row>
    <row r="114" spans="1:10" ht="19.5" customHeight="1" x14ac:dyDescent="0.25">
      <c r="A114" s="510" t="s">
        <v>1056</v>
      </c>
      <c r="B114" s="422" t="s">
        <v>1057</v>
      </c>
      <c r="C114" s="445" t="s">
        <v>1058</v>
      </c>
      <c r="D114" s="443" t="s">
        <v>42</v>
      </c>
      <c r="E114" s="511">
        <v>14.53</v>
      </c>
      <c r="F114" s="516">
        <v>2.3199999999999998</v>
      </c>
      <c r="G114" s="446">
        <f>E114*F114</f>
        <v>33.71</v>
      </c>
      <c r="H114" s="444">
        <f>G114*3.322+G115*3.322</f>
        <v>369.11</v>
      </c>
      <c r="I114" s="446">
        <f>ROUND(H114*1.25,2)</f>
        <v>461.39</v>
      </c>
      <c r="J114" s="460"/>
    </row>
    <row r="115" spans="1:10" ht="14.25" customHeight="1" x14ac:dyDescent="0.25">
      <c r="A115" s="459"/>
      <c r="B115" s="422" t="s">
        <v>1059</v>
      </c>
      <c r="C115" s="445"/>
      <c r="D115" s="443" t="s">
        <v>54</v>
      </c>
      <c r="E115" s="511">
        <v>16.68</v>
      </c>
      <c r="F115" s="516">
        <v>4.6399999999999997</v>
      </c>
      <c r="G115" s="446">
        <f>E115*F115</f>
        <v>77.400000000000006</v>
      </c>
      <c r="H115" s="444"/>
      <c r="I115" s="446"/>
      <c r="J115" s="460"/>
    </row>
    <row r="116" spans="1:10" ht="14.25" customHeight="1" x14ac:dyDescent="0.25">
      <c r="A116" s="459"/>
      <c r="B116" s="422" t="s">
        <v>1060</v>
      </c>
      <c r="C116" s="445"/>
      <c r="D116" s="494"/>
      <c r="E116" s="511"/>
      <c r="F116" s="516"/>
      <c r="G116" s="517"/>
      <c r="H116" s="518"/>
      <c r="I116" s="517"/>
      <c r="J116" s="460"/>
    </row>
    <row r="117" spans="1:10" x14ac:dyDescent="0.25">
      <c r="A117" s="459"/>
      <c r="C117" s="445"/>
      <c r="D117" s="494"/>
      <c r="E117" s="511"/>
      <c r="F117" s="516"/>
      <c r="G117" s="517"/>
      <c r="H117" s="518"/>
      <c r="I117" s="517"/>
      <c r="J117" s="460"/>
    </row>
    <row r="118" spans="1:10" ht="16.5" customHeight="1" x14ac:dyDescent="0.25">
      <c r="A118" s="510" t="s">
        <v>1061</v>
      </c>
      <c r="B118" s="422" t="s">
        <v>1062</v>
      </c>
      <c r="C118" s="445" t="s">
        <v>920</v>
      </c>
      <c r="D118" s="443" t="s">
        <v>42</v>
      </c>
      <c r="E118" s="511">
        <v>14.53</v>
      </c>
      <c r="F118" s="516">
        <v>1.5</v>
      </c>
      <c r="G118" s="446">
        <f>E118*F118</f>
        <v>21.8</v>
      </c>
      <c r="H118" s="444">
        <f>G118*3.322+G119*3.322</f>
        <v>155.54</v>
      </c>
      <c r="I118" s="446">
        <f>ROUND(H118*1.25,2)</f>
        <v>194.43</v>
      </c>
      <c r="J118" s="460"/>
    </row>
    <row r="119" spans="1:10" ht="14.25" customHeight="1" x14ac:dyDescent="0.25">
      <c r="A119" s="459"/>
      <c r="B119" s="422" t="s">
        <v>1063</v>
      </c>
      <c r="C119" s="445"/>
      <c r="D119" s="443" t="s">
        <v>54</v>
      </c>
      <c r="E119" s="511">
        <v>16.68</v>
      </c>
      <c r="F119" s="516">
        <v>1.5</v>
      </c>
      <c r="G119" s="446">
        <f>E119*F119</f>
        <v>25.02</v>
      </c>
      <c r="H119" s="444"/>
      <c r="I119" s="446"/>
      <c r="J119" s="460"/>
    </row>
    <row r="120" spans="1:10" ht="12.75" customHeight="1" x14ac:dyDescent="0.25">
      <c r="A120" s="459"/>
      <c r="C120" s="445"/>
      <c r="D120" s="494"/>
      <c r="E120" s="511"/>
      <c r="F120" s="516"/>
      <c r="G120" s="446"/>
      <c r="H120" s="444"/>
      <c r="I120" s="446"/>
      <c r="J120" s="460"/>
    </row>
    <row r="121" spans="1:10" ht="16.5" customHeight="1" x14ac:dyDescent="0.25">
      <c r="A121" s="510" t="s">
        <v>1064</v>
      </c>
      <c r="B121" s="497" t="s">
        <v>1065</v>
      </c>
      <c r="C121" s="445" t="s">
        <v>1058</v>
      </c>
      <c r="D121" s="443" t="s">
        <v>42</v>
      </c>
      <c r="E121" s="511">
        <v>14.53</v>
      </c>
      <c r="F121" s="516">
        <v>3.3</v>
      </c>
      <c r="G121" s="446">
        <f>E121*F121</f>
        <v>47.95</v>
      </c>
      <c r="H121" s="444">
        <f>G121*3.322+G122*3.322</f>
        <v>525.01</v>
      </c>
      <c r="I121" s="446">
        <f>ROUND(H121*1.25,2)</f>
        <v>656.26</v>
      </c>
      <c r="J121" s="460"/>
    </row>
    <row r="122" spans="1:10" ht="14.25" customHeight="1" x14ac:dyDescent="0.25">
      <c r="A122" s="459"/>
      <c r="B122" s="502" t="s">
        <v>1066</v>
      </c>
      <c r="C122" s="445"/>
      <c r="D122" s="443" t="s">
        <v>54</v>
      </c>
      <c r="E122" s="511">
        <v>16.68</v>
      </c>
      <c r="F122" s="516">
        <v>6.6</v>
      </c>
      <c r="G122" s="446">
        <f>E122*F122</f>
        <v>110.09</v>
      </c>
      <c r="H122" s="444"/>
      <c r="I122" s="446"/>
      <c r="J122" s="460"/>
    </row>
    <row r="123" spans="1:10" ht="14.25" customHeight="1" x14ac:dyDescent="0.25">
      <c r="A123" s="459"/>
      <c r="B123" s="502" t="s">
        <v>1067</v>
      </c>
      <c r="C123" s="445"/>
      <c r="D123" s="494"/>
      <c r="E123" s="511"/>
      <c r="F123" s="516"/>
      <c r="G123" s="517"/>
      <c r="H123" s="518"/>
      <c r="I123" s="517"/>
      <c r="J123" s="460"/>
    </row>
    <row r="124" spans="1:10" x14ac:dyDescent="0.25">
      <c r="A124" s="459"/>
      <c r="B124" s="497" t="s">
        <v>1068</v>
      </c>
      <c r="C124" s="445"/>
      <c r="D124" s="494"/>
      <c r="E124" s="511"/>
      <c r="F124" s="516"/>
      <c r="G124" s="517"/>
      <c r="H124" s="518"/>
      <c r="I124" s="517"/>
      <c r="J124" s="460"/>
    </row>
    <row r="125" spans="1:10" x14ac:dyDescent="0.25">
      <c r="A125" s="459"/>
      <c r="B125" s="497"/>
      <c r="C125" s="445"/>
      <c r="D125" s="494"/>
      <c r="E125" s="511"/>
      <c r="F125" s="516"/>
      <c r="G125" s="517"/>
      <c r="H125" s="518"/>
      <c r="I125" s="517"/>
      <c r="J125" s="460"/>
    </row>
    <row r="126" spans="1:10" ht="15.75" customHeight="1" x14ac:dyDescent="0.25">
      <c r="A126" s="459" t="s">
        <v>1069</v>
      </c>
      <c r="B126" s="502" t="s">
        <v>1070</v>
      </c>
      <c r="C126" s="445" t="s">
        <v>1071</v>
      </c>
      <c r="D126" s="443" t="s">
        <v>42</v>
      </c>
      <c r="E126" s="511">
        <v>14.53</v>
      </c>
      <c r="F126" s="516">
        <v>0.18</v>
      </c>
      <c r="G126" s="446">
        <f>E126*F126</f>
        <v>2.62</v>
      </c>
      <c r="H126" s="444">
        <f>G126*3.322+G127*3.322</f>
        <v>18.670000000000002</v>
      </c>
      <c r="I126" s="446">
        <f>ROUND(H126*1.25,2)</f>
        <v>23.34</v>
      </c>
      <c r="J126" s="460"/>
    </row>
    <row r="127" spans="1:10" ht="14.25" customHeight="1" x14ac:dyDescent="0.25">
      <c r="A127" s="459"/>
      <c r="B127" s="502" t="s">
        <v>1072</v>
      </c>
      <c r="C127" s="445"/>
      <c r="D127" s="443" t="s">
        <v>54</v>
      </c>
      <c r="E127" s="511">
        <v>16.68</v>
      </c>
      <c r="F127" s="516">
        <v>0.18</v>
      </c>
      <c r="G127" s="446">
        <f>E127*F127</f>
        <v>3</v>
      </c>
      <c r="H127" s="444"/>
      <c r="I127" s="446"/>
      <c r="J127" s="460"/>
    </row>
    <row r="128" spans="1:10" ht="12.75" customHeight="1" x14ac:dyDescent="0.25">
      <c r="A128" s="459"/>
      <c r="C128" s="445"/>
      <c r="D128" s="494"/>
      <c r="E128" s="511"/>
      <c r="F128" s="516"/>
      <c r="G128" s="446"/>
      <c r="H128" s="444"/>
      <c r="I128" s="446"/>
      <c r="J128" s="460"/>
    </row>
    <row r="129" spans="1:10" ht="16.5" customHeight="1" x14ac:dyDescent="0.25">
      <c r="A129" s="459" t="s">
        <v>1073</v>
      </c>
      <c r="B129" s="502" t="s">
        <v>1074</v>
      </c>
      <c r="C129" s="445"/>
      <c r="D129" s="494"/>
      <c r="E129" s="511"/>
      <c r="F129" s="516"/>
      <c r="G129" s="446"/>
      <c r="H129" s="444"/>
      <c r="I129" s="446"/>
      <c r="J129" s="460"/>
    </row>
    <row r="130" spans="1:10" ht="14.25" customHeight="1" x14ac:dyDescent="0.25">
      <c r="A130" s="459"/>
      <c r="B130" s="502" t="s">
        <v>1075</v>
      </c>
      <c r="C130" s="445" t="s">
        <v>1076</v>
      </c>
      <c r="D130" s="494"/>
      <c r="E130" s="511"/>
      <c r="F130" s="516"/>
      <c r="G130" s="446"/>
      <c r="H130" s="444"/>
      <c r="I130" s="446"/>
      <c r="J130" s="460"/>
    </row>
    <row r="131" spans="1:10" ht="14.25" customHeight="1" x14ac:dyDescent="0.25">
      <c r="A131" s="459"/>
      <c r="B131" s="502" t="s">
        <v>1077</v>
      </c>
      <c r="C131" s="445" t="s">
        <v>1078</v>
      </c>
      <c r="D131" s="443" t="s">
        <v>54</v>
      </c>
      <c r="E131" s="511">
        <v>16.68</v>
      </c>
      <c r="F131" s="516">
        <v>1.44</v>
      </c>
      <c r="G131" s="446">
        <f>E131*F131</f>
        <v>24.02</v>
      </c>
      <c r="H131" s="444">
        <f>G131*3.322</f>
        <v>79.790000000000006</v>
      </c>
      <c r="I131" s="446">
        <f>ROUND(H131*1.25,2)</f>
        <v>99.74</v>
      </c>
      <c r="J131" s="460"/>
    </row>
    <row r="132" spans="1:10" ht="14.25" customHeight="1" x14ac:dyDescent="0.25">
      <c r="A132" s="459"/>
      <c r="B132" s="422" t="s">
        <v>1079</v>
      </c>
      <c r="C132" s="445" t="s">
        <v>45</v>
      </c>
      <c r="D132" s="443" t="s">
        <v>54</v>
      </c>
      <c r="E132" s="511">
        <v>16.68</v>
      </c>
      <c r="F132" s="516">
        <v>1.87</v>
      </c>
      <c r="G132" s="446">
        <f>E132*F132</f>
        <v>31.19</v>
      </c>
      <c r="H132" s="444">
        <f>G132*3.322</f>
        <v>103.61</v>
      </c>
      <c r="I132" s="446">
        <f>ROUND(H132*1.25,2)</f>
        <v>129.51</v>
      </c>
      <c r="J132" s="460"/>
    </row>
    <row r="133" spans="1:10" ht="14.25" customHeight="1" x14ac:dyDescent="0.25">
      <c r="A133" s="459"/>
      <c r="B133" s="422" t="s">
        <v>1080</v>
      </c>
      <c r="C133" s="445" t="s">
        <v>45</v>
      </c>
      <c r="D133" s="443" t="s">
        <v>54</v>
      </c>
      <c r="E133" s="511">
        <v>16.68</v>
      </c>
      <c r="F133" s="516">
        <v>2.2999999999999998</v>
      </c>
      <c r="G133" s="446">
        <f>E133*F133</f>
        <v>38.36</v>
      </c>
      <c r="H133" s="444">
        <f>G133*3.322</f>
        <v>127.43</v>
      </c>
      <c r="I133" s="446">
        <f>ROUND(H133*1.25,2)</f>
        <v>159.29</v>
      </c>
      <c r="J133" s="460"/>
    </row>
    <row r="134" spans="1:10" ht="23.25" customHeight="1" x14ac:dyDescent="0.25">
      <c r="A134" s="459"/>
      <c r="B134" s="430"/>
      <c r="C134" s="482"/>
      <c r="D134" s="483"/>
      <c r="E134" s="485"/>
      <c r="F134" s="486"/>
      <c r="G134" s="484"/>
      <c r="H134" s="484"/>
      <c r="I134" s="484"/>
      <c r="J134" s="460"/>
    </row>
    <row r="135" spans="1:10" ht="17.25" customHeight="1" x14ac:dyDescent="0.25">
      <c r="A135" s="481"/>
      <c r="B135" s="430" t="s">
        <v>1081</v>
      </c>
      <c r="D135" s="483"/>
      <c r="E135" s="485"/>
      <c r="F135" s="486"/>
      <c r="G135" s="484"/>
      <c r="H135" s="484"/>
      <c r="I135" s="484"/>
      <c r="J135" s="460"/>
    </row>
    <row r="136" spans="1:10" ht="14.25" customHeight="1" x14ac:dyDescent="0.25">
      <c r="A136" s="481"/>
      <c r="B136" s="492" t="s">
        <v>1082</v>
      </c>
      <c r="D136" s="483"/>
      <c r="E136" s="485"/>
      <c r="F136" s="486"/>
      <c r="G136" s="484"/>
      <c r="H136" s="484"/>
      <c r="I136" s="484"/>
      <c r="J136" s="460"/>
    </row>
    <row r="137" spans="1:10" ht="14.25" customHeight="1" x14ac:dyDescent="0.25">
      <c r="A137" s="481"/>
      <c r="B137" s="524" t="s">
        <v>1083</v>
      </c>
      <c r="D137" s="483"/>
      <c r="E137" s="485"/>
      <c r="F137" s="486"/>
      <c r="G137" s="484"/>
      <c r="H137" s="484"/>
      <c r="I137" s="484"/>
      <c r="J137" s="460"/>
    </row>
    <row r="138" spans="1:10" x14ac:dyDescent="0.25">
      <c r="A138" s="487"/>
      <c r="B138" s="543"/>
      <c r="C138" s="488"/>
      <c r="D138" s="488"/>
      <c r="E138" s="489"/>
      <c r="F138" s="489"/>
      <c r="G138" s="488"/>
      <c r="H138" s="488"/>
      <c r="I138" s="488"/>
      <c r="J138" s="451"/>
    </row>
    <row r="139" spans="1:10" ht="11.25" customHeight="1" x14ac:dyDescent="0.25">
      <c r="A139" s="539"/>
      <c r="B139" s="430"/>
      <c r="C139" s="482"/>
      <c r="D139" s="483"/>
      <c r="E139" s="485"/>
      <c r="F139" s="486"/>
      <c r="G139" s="430"/>
      <c r="H139" s="430"/>
      <c r="I139" s="430"/>
      <c r="J139" s="430"/>
    </row>
    <row r="140" spans="1:10" x14ac:dyDescent="0.25">
      <c r="A140" s="539"/>
      <c r="B140" s="430"/>
      <c r="C140" s="482"/>
      <c r="D140" s="483"/>
      <c r="E140" s="485"/>
      <c r="F140" s="486"/>
      <c r="G140" s="430"/>
      <c r="H140" s="430"/>
      <c r="I140" s="430"/>
      <c r="J140" s="430"/>
    </row>
    <row r="141" spans="1:10" ht="21" customHeight="1" x14ac:dyDescent="0.25">
      <c r="A141" s="424" t="s">
        <v>1084</v>
      </c>
      <c r="B141" s="424"/>
      <c r="C141" s="424"/>
      <c r="D141" s="424"/>
      <c r="E141" s="426"/>
      <c r="F141" s="426"/>
      <c r="G141" s="491"/>
      <c r="H141" s="491"/>
      <c r="I141" s="491"/>
      <c r="J141" s="491"/>
    </row>
    <row r="142" spans="1:10" x14ac:dyDescent="0.25">
      <c r="A142" s="540"/>
      <c r="D142" s="423"/>
      <c r="E142" s="423"/>
      <c r="F142" s="528"/>
      <c r="G142" s="430"/>
      <c r="H142" s="482"/>
      <c r="I142" s="482"/>
    </row>
    <row r="143" spans="1:10" x14ac:dyDescent="0.25">
      <c r="A143" s="432" t="s">
        <v>273</v>
      </c>
      <c r="B143" s="433"/>
      <c r="C143" s="434" t="s">
        <v>274</v>
      </c>
      <c r="D143" s="435" t="s">
        <v>275</v>
      </c>
      <c r="E143" s="436" t="s">
        <v>276</v>
      </c>
      <c r="F143" s="437" t="s">
        <v>277</v>
      </c>
      <c r="G143" s="436" t="s">
        <v>278</v>
      </c>
      <c r="H143" s="438" t="s">
        <v>279</v>
      </c>
      <c r="I143" s="439" t="s">
        <v>378</v>
      </c>
      <c r="J143" s="440"/>
    </row>
    <row r="144" spans="1:10" x14ac:dyDescent="0.25">
      <c r="A144" s="441" t="s">
        <v>280</v>
      </c>
      <c r="B144" s="428"/>
      <c r="C144" s="442" t="s">
        <v>23</v>
      </c>
      <c r="D144" s="443" t="s">
        <v>281</v>
      </c>
      <c r="E144" s="444" t="s">
        <v>25</v>
      </c>
      <c r="F144" s="445" t="s">
        <v>26</v>
      </c>
      <c r="G144" s="444" t="s">
        <v>27</v>
      </c>
      <c r="H144" s="446" t="s">
        <v>282</v>
      </c>
      <c r="I144" s="438" t="s">
        <v>283</v>
      </c>
      <c r="J144" s="447" t="s">
        <v>284</v>
      </c>
    </row>
    <row r="145" spans="1:10" x14ac:dyDescent="0.25">
      <c r="A145" s="441"/>
      <c r="B145" s="428"/>
      <c r="C145" s="442"/>
      <c r="D145" s="443" t="s">
        <v>31</v>
      </c>
      <c r="E145" s="444" t="s">
        <v>32</v>
      </c>
      <c r="F145" s="445" t="s">
        <v>285</v>
      </c>
      <c r="G145" s="444" t="s">
        <v>34</v>
      </c>
      <c r="H145" s="446" t="s">
        <v>32</v>
      </c>
      <c r="I145" s="446" t="s">
        <v>286</v>
      </c>
      <c r="J145" s="448" t="s">
        <v>287</v>
      </c>
    </row>
    <row r="146" spans="1:10" x14ac:dyDescent="0.25">
      <c r="A146" s="449"/>
      <c r="B146" s="450"/>
      <c r="C146" s="451"/>
      <c r="D146" s="452"/>
      <c r="E146" s="453"/>
      <c r="F146" s="454" t="s">
        <v>36</v>
      </c>
      <c r="G146" s="455" t="s">
        <v>32</v>
      </c>
      <c r="H146" s="456"/>
      <c r="I146" s="457" t="s">
        <v>288</v>
      </c>
      <c r="J146" s="458" t="s">
        <v>289</v>
      </c>
    </row>
    <row r="147" spans="1:10" ht="18" customHeight="1" x14ac:dyDescent="0.3">
      <c r="A147" s="459" t="s">
        <v>1085</v>
      </c>
      <c r="B147" s="524" t="s">
        <v>1086</v>
      </c>
      <c r="C147" s="445" t="s">
        <v>1087</v>
      </c>
      <c r="D147" s="443" t="s">
        <v>41</v>
      </c>
      <c r="E147" s="511">
        <v>12.92</v>
      </c>
      <c r="F147" s="534">
        <v>8</v>
      </c>
      <c r="G147" s="446">
        <f>E147*F147</f>
        <v>103.36</v>
      </c>
      <c r="H147" s="444">
        <f>G147*3.322</f>
        <v>343.36</v>
      </c>
      <c r="I147" s="446">
        <f>ROUND(H147*1.25,2)</f>
        <v>429.2</v>
      </c>
      <c r="J147" s="446">
        <f>ROUND(H147*1.298,1)</f>
        <v>445.7</v>
      </c>
    </row>
    <row r="148" spans="1:10" x14ac:dyDescent="0.25">
      <c r="A148" s="441"/>
      <c r="B148" s="524" t="s">
        <v>1088</v>
      </c>
      <c r="C148" s="445" t="s">
        <v>1089</v>
      </c>
      <c r="D148" s="443"/>
      <c r="E148" s="536"/>
      <c r="F148" s="534"/>
      <c r="G148" s="442"/>
      <c r="H148" s="430"/>
      <c r="I148" s="445"/>
      <c r="J148" s="442"/>
    </row>
    <row r="149" spans="1:10" x14ac:dyDescent="0.25">
      <c r="A149" s="441"/>
      <c r="B149" s="524"/>
      <c r="C149" s="445"/>
      <c r="D149" s="443"/>
      <c r="E149" s="536"/>
      <c r="F149" s="534"/>
      <c r="G149" s="442"/>
      <c r="H149" s="430"/>
      <c r="I149" s="445"/>
      <c r="J149" s="442"/>
    </row>
    <row r="150" spans="1:10" x14ac:dyDescent="0.25">
      <c r="A150" s="459" t="s">
        <v>1090</v>
      </c>
      <c r="B150" s="422" t="s">
        <v>1091</v>
      </c>
      <c r="C150" s="445"/>
      <c r="D150" s="494"/>
      <c r="E150" s="511"/>
      <c r="F150" s="534"/>
      <c r="G150" s="517"/>
      <c r="H150" s="544"/>
      <c r="I150" s="517"/>
      <c r="J150" s="460"/>
    </row>
    <row r="151" spans="1:10" x14ac:dyDescent="0.25">
      <c r="A151" s="459"/>
      <c r="B151" s="422" t="s">
        <v>1092</v>
      </c>
      <c r="C151" s="445"/>
      <c r="D151" s="494"/>
      <c r="E151" s="511"/>
      <c r="F151" s="516"/>
      <c r="G151" s="446"/>
      <c r="H151" s="444"/>
      <c r="I151" s="446"/>
      <c r="J151" s="446"/>
    </row>
    <row r="152" spans="1:10" x14ac:dyDescent="0.25">
      <c r="A152" s="545"/>
      <c r="B152" s="546" t="s">
        <v>1093</v>
      </c>
      <c r="C152" s="445"/>
      <c r="D152" s="494"/>
      <c r="E152" s="511"/>
      <c r="F152" s="516"/>
      <c r="G152" s="446"/>
      <c r="H152" s="444"/>
      <c r="I152" s="446"/>
      <c r="J152" s="446"/>
    </row>
    <row r="153" spans="1:10" x14ac:dyDescent="0.25">
      <c r="A153" s="459"/>
      <c r="B153" s="490" t="s">
        <v>1094</v>
      </c>
      <c r="C153" s="445" t="s">
        <v>1095</v>
      </c>
      <c r="D153" s="443" t="s">
        <v>42</v>
      </c>
      <c r="E153" s="511">
        <v>14.53</v>
      </c>
      <c r="F153" s="516">
        <v>1.6</v>
      </c>
      <c r="G153" s="446">
        <f>E153*F153</f>
        <v>23.25</v>
      </c>
      <c r="H153" s="444">
        <f>G153*3.322</f>
        <v>77.239999999999995</v>
      </c>
      <c r="I153" s="446">
        <f>ROUND(H153*1.25,2)</f>
        <v>96.55</v>
      </c>
      <c r="J153" s="446">
        <f>ROUND(H153*1.298,1)</f>
        <v>100.3</v>
      </c>
    </row>
    <row r="154" spans="1:10" x14ac:dyDescent="0.25">
      <c r="A154" s="459"/>
      <c r="B154" s="490" t="s">
        <v>1096</v>
      </c>
      <c r="C154" s="445" t="s">
        <v>45</v>
      </c>
      <c r="D154" s="443" t="s">
        <v>42</v>
      </c>
      <c r="E154" s="511">
        <v>14.53</v>
      </c>
      <c r="F154" s="516">
        <v>3.4</v>
      </c>
      <c r="G154" s="446">
        <f>E154*F154</f>
        <v>49.4</v>
      </c>
      <c r="H154" s="444">
        <f>G154*3.322</f>
        <v>164.11</v>
      </c>
      <c r="I154" s="446">
        <f>ROUND(H154*1.25,2)</f>
        <v>205.14</v>
      </c>
      <c r="J154" s="446">
        <f>ROUND(H154*1.298,1)</f>
        <v>213</v>
      </c>
    </row>
    <row r="155" spans="1:10" x14ac:dyDescent="0.25">
      <c r="A155" s="459"/>
      <c r="B155" s="490" t="s">
        <v>1097</v>
      </c>
      <c r="C155" s="445" t="s">
        <v>45</v>
      </c>
      <c r="D155" s="443" t="s">
        <v>42</v>
      </c>
      <c r="E155" s="511">
        <v>14.53</v>
      </c>
      <c r="F155" s="516">
        <v>2.5</v>
      </c>
      <c r="G155" s="446">
        <f>E155*F155</f>
        <v>36.33</v>
      </c>
      <c r="H155" s="444">
        <f>G155*3.322</f>
        <v>120.69</v>
      </c>
      <c r="I155" s="446">
        <f>ROUND(H155*1.25,2)</f>
        <v>150.86000000000001</v>
      </c>
      <c r="J155" s="446">
        <f>ROUND(H155*1.298,1)</f>
        <v>156.69999999999999</v>
      </c>
    </row>
    <row r="156" spans="1:10" x14ac:dyDescent="0.25">
      <c r="A156" s="459"/>
      <c r="B156" s="490" t="s">
        <v>1098</v>
      </c>
      <c r="C156" s="445" t="s">
        <v>45</v>
      </c>
      <c r="D156" s="443" t="s">
        <v>42</v>
      </c>
      <c r="E156" s="511">
        <v>14.53</v>
      </c>
      <c r="F156" s="516">
        <v>2.8</v>
      </c>
      <c r="G156" s="446">
        <f>E156*F156</f>
        <v>40.68</v>
      </c>
      <c r="H156" s="444">
        <f>G156*3.322</f>
        <v>135.13999999999999</v>
      </c>
      <c r="I156" s="446">
        <f>ROUND(H156*1.25,2)</f>
        <v>168.93</v>
      </c>
      <c r="J156" s="446">
        <f>ROUND(H156*1.298,1)</f>
        <v>175.4</v>
      </c>
    </row>
    <row r="157" spans="1:10" x14ac:dyDescent="0.25">
      <c r="A157" s="459"/>
      <c r="B157" s="490"/>
      <c r="C157" s="445"/>
      <c r="D157" s="494"/>
      <c r="E157" s="511"/>
      <c r="F157" s="516"/>
      <c r="G157" s="446"/>
      <c r="H157" s="444"/>
      <c r="I157" s="446"/>
      <c r="J157" s="448"/>
    </row>
    <row r="158" spans="1:10" x14ac:dyDescent="0.25">
      <c r="A158" s="459" t="s">
        <v>1099</v>
      </c>
      <c r="B158" s="422" t="s">
        <v>1100</v>
      </c>
      <c r="C158" s="445" t="s">
        <v>1101</v>
      </c>
      <c r="D158" s="547" t="s">
        <v>1102</v>
      </c>
      <c r="E158" s="512">
        <v>24</v>
      </c>
      <c r="F158" s="516">
        <v>2.9</v>
      </c>
      <c r="G158" s="446">
        <f>E158*F158</f>
        <v>69.599999999999994</v>
      </c>
      <c r="H158" s="444">
        <f>G158*3.322+G159*3.322</f>
        <v>480.16</v>
      </c>
      <c r="I158" s="446">
        <f>ROUND(H158*1.25,2)</f>
        <v>600.20000000000005</v>
      </c>
      <c r="J158" s="446">
        <f>ROUND(H158*1.298,1)</f>
        <v>623.20000000000005</v>
      </c>
    </row>
    <row r="159" spans="1:10" x14ac:dyDescent="0.25">
      <c r="A159" s="459"/>
      <c r="B159" s="422" t="s">
        <v>912</v>
      </c>
      <c r="C159" s="445"/>
      <c r="D159" s="443" t="s">
        <v>41</v>
      </c>
      <c r="E159" s="511">
        <v>12.92</v>
      </c>
      <c r="F159" s="516">
        <v>5.8</v>
      </c>
      <c r="G159" s="446">
        <f>E159*F159</f>
        <v>74.94</v>
      </c>
      <c r="H159" s="444"/>
      <c r="I159" s="446"/>
      <c r="J159" s="448"/>
    </row>
    <row r="160" spans="1:10" x14ac:dyDescent="0.25">
      <c r="A160" s="459"/>
      <c r="C160" s="445"/>
      <c r="D160" s="494"/>
      <c r="E160" s="511"/>
      <c r="F160" s="516"/>
      <c r="G160" s="446"/>
      <c r="H160" s="444"/>
      <c r="I160" s="446"/>
      <c r="J160" s="448"/>
    </row>
    <row r="161" spans="1:10" x14ac:dyDescent="0.25">
      <c r="A161" s="459"/>
      <c r="B161" s="422" t="s">
        <v>1103</v>
      </c>
      <c r="C161" s="445" t="s">
        <v>45</v>
      </c>
      <c r="D161" s="547" t="s">
        <v>1102</v>
      </c>
      <c r="E161" s="512">
        <v>24</v>
      </c>
      <c r="F161" s="516">
        <v>4</v>
      </c>
      <c r="G161" s="446">
        <f>E161*F161</f>
        <v>96</v>
      </c>
      <c r="H161" s="444">
        <f>G161*3.322+G162*3.322</f>
        <v>657.99</v>
      </c>
      <c r="I161" s="446">
        <f>ROUND(H161*1.25,2)</f>
        <v>822.49</v>
      </c>
      <c r="J161" s="446">
        <f>ROUND(H161*1.298,1)</f>
        <v>854.1</v>
      </c>
    </row>
    <row r="162" spans="1:10" x14ac:dyDescent="0.25">
      <c r="A162" s="459"/>
      <c r="C162" s="445"/>
      <c r="D162" s="443" t="s">
        <v>41</v>
      </c>
      <c r="E162" s="511">
        <v>12.92</v>
      </c>
      <c r="F162" s="516">
        <v>7.9</v>
      </c>
      <c r="G162" s="446">
        <f>E162*F162</f>
        <v>102.07</v>
      </c>
      <c r="H162" s="444"/>
      <c r="I162" s="446"/>
      <c r="J162" s="448"/>
    </row>
    <row r="163" spans="1:10" x14ac:dyDescent="0.25">
      <c r="A163" s="459"/>
      <c r="C163" s="445"/>
      <c r="D163" s="494"/>
      <c r="E163" s="511"/>
      <c r="F163" s="516"/>
      <c r="G163" s="446"/>
      <c r="H163" s="444"/>
      <c r="I163" s="446"/>
      <c r="J163" s="448"/>
    </row>
    <row r="164" spans="1:10" x14ac:dyDescent="0.25">
      <c r="A164" s="459"/>
      <c r="B164" s="422" t="s">
        <v>1104</v>
      </c>
      <c r="C164" s="445" t="s">
        <v>45</v>
      </c>
      <c r="D164" s="547" t="s">
        <v>1102</v>
      </c>
      <c r="E164" s="512">
        <v>24</v>
      </c>
      <c r="F164" s="516">
        <v>5</v>
      </c>
      <c r="G164" s="446">
        <f>E164*F164</f>
        <v>120</v>
      </c>
      <c r="H164" s="444">
        <f>G164*3.322+G165*3.322</f>
        <v>832.13</v>
      </c>
      <c r="I164" s="446">
        <f>ROUND(H164*1.25,2)</f>
        <v>1040.1600000000001</v>
      </c>
      <c r="J164" s="446"/>
    </row>
    <row r="165" spans="1:10" x14ac:dyDescent="0.25">
      <c r="A165" s="459"/>
      <c r="C165" s="445"/>
      <c r="D165" s="443" t="s">
        <v>41</v>
      </c>
      <c r="E165" s="511">
        <v>12.92</v>
      </c>
      <c r="F165" s="516">
        <v>10.1</v>
      </c>
      <c r="G165" s="446">
        <f>E165*F165</f>
        <v>130.49</v>
      </c>
      <c r="H165" s="444"/>
      <c r="I165" s="446"/>
      <c r="J165" s="448"/>
    </row>
    <row r="166" spans="1:10" x14ac:dyDescent="0.25">
      <c r="A166" s="459"/>
      <c r="C166" s="445"/>
      <c r="D166" s="494"/>
      <c r="E166" s="511"/>
      <c r="F166" s="516"/>
      <c r="G166" s="446"/>
      <c r="H166" s="444"/>
      <c r="I166" s="446"/>
      <c r="J166" s="448"/>
    </row>
    <row r="167" spans="1:10" x14ac:dyDescent="0.25">
      <c r="A167" s="459"/>
      <c r="B167" s="422" t="s">
        <v>1105</v>
      </c>
      <c r="C167" s="445" t="s">
        <v>45</v>
      </c>
      <c r="D167" s="547" t="s">
        <v>1102</v>
      </c>
      <c r="E167" s="512">
        <v>24</v>
      </c>
      <c r="F167" s="516">
        <v>6.1</v>
      </c>
      <c r="G167" s="446">
        <f>E167*F167</f>
        <v>146.4</v>
      </c>
      <c r="H167" s="444">
        <f>G167*3.322+G168*3.322</f>
        <v>1075.23</v>
      </c>
      <c r="I167" s="446">
        <f>ROUND(H167*1.25,2)</f>
        <v>1344.04</v>
      </c>
      <c r="J167" s="446"/>
    </row>
    <row r="168" spans="1:10" x14ac:dyDescent="0.25">
      <c r="A168" s="459"/>
      <c r="C168" s="445"/>
      <c r="D168" s="443" t="s">
        <v>42</v>
      </c>
      <c r="E168" s="511">
        <v>14.53</v>
      </c>
      <c r="F168" s="516">
        <v>12.2</v>
      </c>
      <c r="G168" s="446">
        <f>E168*F168</f>
        <v>177.27</v>
      </c>
      <c r="H168" s="444"/>
      <c r="I168" s="446"/>
      <c r="J168" s="448"/>
    </row>
    <row r="169" spans="1:10" x14ac:dyDescent="0.25">
      <c r="A169" s="459"/>
      <c r="C169" s="445"/>
      <c r="D169" s="494"/>
      <c r="E169" s="511"/>
      <c r="F169" s="516"/>
      <c r="G169" s="446"/>
      <c r="H169" s="444"/>
      <c r="I169" s="446"/>
      <c r="J169" s="448"/>
    </row>
    <row r="170" spans="1:10" x14ac:dyDescent="0.25">
      <c r="A170" s="459"/>
      <c r="B170" s="422" t="s">
        <v>1106</v>
      </c>
      <c r="C170" s="445" t="s">
        <v>45</v>
      </c>
      <c r="D170" s="547" t="s">
        <v>1102</v>
      </c>
      <c r="E170" s="512">
        <v>24</v>
      </c>
      <c r="F170" s="516">
        <v>7.15</v>
      </c>
      <c r="G170" s="446">
        <f>E170*F170</f>
        <v>171.6</v>
      </c>
      <c r="H170" s="444">
        <f>G170*3.322+G171*3.322</f>
        <v>1260.3</v>
      </c>
      <c r="I170" s="446">
        <f>ROUND(H170*1.25,2)</f>
        <v>1575.38</v>
      </c>
      <c r="J170" s="446"/>
    </row>
    <row r="171" spans="1:10" x14ac:dyDescent="0.25">
      <c r="A171" s="459"/>
      <c r="C171" s="445"/>
      <c r="D171" s="443" t="s">
        <v>42</v>
      </c>
      <c r="E171" s="511">
        <v>14.53</v>
      </c>
      <c r="F171" s="516">
        <v>14.3</v>
      </c>
      <c r="G171" s="446">
        <f>E171*F171</f>
        <v>207.78</v>
      </c>
      <c r="H171" s="444"/>
      <c r="I171" s="446"/>
      <c r="J171" s="448"/>
    </row>
    <row r="172" spans="1:10" x14ac:dyDescent="0.25">
      <c r="A172" s="459"/>
      <c r="C172" s="445"/>
      <c r="D172" s="494"/>
      <c r="E172" s="511"/>
      <c r="F172" s="516"/>
      <c r="G172" s="446"/>
      <c r="H172" s="444"/>
      <c r="I172" s="446"/>
      <c r="J172" s="448"/>
    </row>
    <row r="173" spans="1:10" x14ac:dyDescent="0.25">
      <c r="A173" s="459"/>
      <c r="B173" s="422" t="s">
        <v>1107</v>
      </c>
      <c r="C173" s="445" t="s">
        <v>45</v>
      </c>
      <c r="D173" s="547" t="s">
        <v>1102</v>
      </c>
      <c r="E173" s="512">
        <v>24</v>
      </c>
      <c r="F173" s="516">
        <v>8.4</v>
      </c>
      <c r="G173" s="446">
        <f>E173*F173</f>
        <v>201.6</v>
      </c>
      <c r="H173" s="444">
        <f>G173*3.322+G174*3.322</f>
        <v>1578.45</v>
      </c>
      <c r="I173" s="446">
        <f>ROUND(H173*1.25,2)</f>
        <v>1973.06</v>
      </c>
      <c r="J173" s="446"/>
    </row>
    <row r="174" spans="1:10" x14ac:dyDescent="0.25">
      <c r="A174" s="459"/>
      <c r="C174" s="445"/>
      <c r="D174" s="443" t="s">
        <v>54</v>
      </c>
      <c r="E174" s="511">
        <v>16.68</v>
      </c>
      <c r="F174" s="516">
        <v>16.399999999999999</v>
      </c>
      <c r="G174" s="446">
        <f>E174*F174</f>
        <v>273.55</v>
      </c>
      <c r="H174" s="444"/>
      <c r="I174" s="446"/>
      <c r="J174" s="448"/>
    </row>
    <row r="175" spans="1:10" x14ac:dyDescent="0.25">
      <c r="A175" s="459"/>
      <c r="C175" s="445"/>
      <c r="D175" s="494"/>
      <c r="E175" s="511"/>
      <c r="F175" s="516"/>
      <c r="G175" s="446"/>
      <c r="H175" s="444"/>
      <c r="I175" s="446"/>
      <c r="J175" s="448"/>
    </row>
    <row r="176" spans="1:10" x14ac:dyDescent="0.25">
      <c r="A176" s="459"/>
      <c r="B176" s="422" t="s">
        <v>1108</v>
      </c>
      <c r="C176" s="445" t="s">
        <v>45</v>
      </c>
      <c r="D176" s="547" t="s">
        <v>1102</v>
      </c>
      <c r="E176" s="512">
        <v>24</v>
      </c>
      <c r="F176" s="516">
        <v>9.5</v>
      </c>
      <c r="G176" s="446">
        <f>E176*F176</f>
        <v>228</v>
      </c>
      <c r="H176" s="444">
        <f>G176*3.322+G177*3.322</f>
        <v>1782.52</v>
      </c>
      <c r="I176" s="446">
        <f>ROUND(H176*1.25,2)</f>
        <v>2228.15</v>
      </c>
      <c r="J176" s="446"/>
    </row>
    <row r="177" spans="1:10" x14ac:dyDescent="0.25">
      <c r="A177" s="459"/>
      <c r="C177" s="445"/>
      <c r="D177" s="443" t="s">
        <v>54</v>
      </c>
      <c r="E177" s="511">
        <v>16.68</v>
      </c>
      <c r="F177" s="516">
        <v>18.5</v>
      </c>
      <c r="G177" s="446">
        <f>E177*F177</f>
        <v>308.58</v>
      </c>
      <c r="H177" s="444"/>
      <c r="I177" s="446"/>
      <c r="J177" s="448"/>
    </row>
    <row r="178" spans="1:10" ht="10.5" customHeight="1" x14ac:dyDescent="0.25">
      <c r="A178" s="459"/>
      <c r="B178" s="422" t="s">
        <v>1109</v>
      </c>
      <c r="C178" s="445"/>
      <c r="D178" s="494"/>
      <c r="E178" s="511"/>
      <c r="F178" s="516"/>
      <c r="G178" s="446"/>
      <c r="H178" s="444"/>
      <c r="I178" s="446"/>
      <c r="J178" s="448"/>
    </row>
    <row r="179" spans="1:10" ht="11.25" customHeight="1" x14ac:dyDescent="0.25">
      <c r="A179" s="459"/>
      <c r="B179" s="422" t="s">
        <v>1110</v>
      </c>
      <c r="C179" s="445"/>
      <c r="D179" s="494"/>
      <c r="E179" s="511"/>
      <c r="F179" s="516"/>
      <c r="G179" s="446"/>
      <c r="H179" s="444"/>
      <c r="I179" s="446"/>
      <c r="J179" s="448"/>
    </row>
    <row r="180" spans="1:10" ht="20.25" customHeight="1" x14ac:dyDescent="0.25">
      <c r="A180" s="459" t="s">
        <v>1111</v>
      </c>
      <c r="B180" s="422" t="s">
        <v>1112</v>
      </c>
      <c r="C180" s="445" t="s">
        <v>1113</v>
      </c>
      <c r="D180" s="547" t="s">
        <v>1102</v>
      </c>
      <c r="E180" s="512">
        <v>24</v>
      </c>
      <c r="F180" s="516">
        <v>0.8</v>
      </c>
      <c r="G180" s="446">
        <f>E180*F180</f>
        <v>19.2</v>
      </c>
      <c r="H180" s="444">
        <f>G180*3.322+G181*3.322</f>
        <v>98.13</v>
      </c>
      <c r="I180" s="446">
        <f>ROUND(H180*1.25,2)</f>
        <v>122.66</v>
      </c>
      <c r="J180" s="446">
        <f>ROUND(H180*1.298,1)</f>
        <v>127.4</v>
      </c>
    </row>
    <row r="181" spans="1:10" x14ac:dyDescent="0.25">
      <c r="A181" s="459"/>
      <c r="B181" s="422" t="s">
        <v>1114</v>
      </c>
      <c r="C181" s="445"/>
      <c r="D181" s="443" t="s">
        <v>41</v>
      </c>
      <c r="E181" s="511">
        <v>12.92</v>
      </c>
      <c r="F181" s="516">
        <v>0.8</v>
      </c>
      <c r="G181" s="446">
        <f>E181*F181</f>
        <v>10.34</v>
      </c>
      <c r="H181" s="444"/>
      <c r="I181" s="446"/>
      <c r="J181" s="448"/>
    </row>
    <row r="182" spans="1:10" ht="7.5" customHeight="1" x14ac:dyDescent="0.25">
      <c r="A182" s="459"/>
      <c r="C182" s="445"/>
      <c r="D182" s="483"/>
      <c r="E182" s="511"/>
      <c r="F182" s="516"/>
      <c r="G182" s="446"/>
      <c r="H182" s="444"/>
      <c r="I182" s="446"/>
      <c r="J182" s="448"/>
    </row>
    <row r="183" spans="1:10" x14ac:dyDescent="0.25">
      <c r="A183" s="459"/>
      <c r="B183" s="422" t="s">
        <v>1115</v>
      </c>
      <c r="C183" s="445" t="s">
        <v>1113</v>
      </c>
      <c r="D183" s="547" t="s">
        <v>1102</v>
      </c>
      <c r="E183" s="512">
        <v>24</v>
      </c>
      <c r="F183" s="516">
        <v>1.2</v>
      </c>
      <c r="G183" s="446">
        <f>E183*F183</f>
        <v>28.8</v>
      </c>
      <c r="H183" s="444">
        <f>G183*3.322+G184*3.322</f>
        <v>153.61000000000001</v>
      </c>
      <c r="I183" s="446">
        <f>ROUND(H183*1.25,2)</f>
        <v>192.01</v>
      </c>
      <c r="J183" s="446">
        <f>ROUND(H183*1.298,1)</f>
        <v>199.4</v>
      </c>
    </row>
    <row r="184" spans="1:10" x14ac:dyDescent="0.25">
      <c r="A184" s="459"/>
      <c r="C184" s="445"/>
      <c r="D184" s="443" t="s">
        <v>42</v>
      </c>
      <c r="E184" s="511">
        <v>14.53</v>
      </c>
      <c r="F184" s="516">
        <v>1.2</v>
      </c>
      <c r="G184" s="446">
        <f>E184*F184</f>
        <v>17.440000000000001</v>
      </c>
      <c r="H184" s="444"/>
      <c r="I184" s="446"/>
      <c r="J184" s="448"/>
    </row>
    <row r="185" spans="1:10" x14ac:dyDescent="0.25">
      <c r="A185" s="459"/>
      <c r="B185" s="422" t="s">
        <v>1109</v>
      </c>
      <c r="C185" s="445"/>
      <c r="D185" s="494"/>
      <c r="E185" s="511"/>
      <c r="F185" s="516"/>
      <c r="G185" s="446"/>
      <c r="H185" s="444"/>
      <c r="I185" s="446"/>
      <c r="J185" s="448"/>
    </row>
    <row r="186" spans="1:10" x14ac:dyDescent="0.25">
      <c r="A186" s="459"/>
      <c r="B186" s="422" t="s">
        <v>1110</v>
      </c>
      <c r="C186" s="445"/>
      <c r="D186" s="494"/>
      <c r="E186" s="511"/>
      <c r="F186" s="516"/>
      <c r="G186" s="446"/>
      <c r="H186" s="444"/>
      <c r="I186" s="446"/>
      <c r="J186" s="448"/>
    </row>
    <row r="187" spans="1:10" ht="20.25" customHeight="1" x14ac:dyDescent="0.25">
      <c r="A187" s="459" t="s">
        <v>1116</v>
      </c>
      <c r="B187" s="422" t="s">
        <v>1117</v>
      </c>
      <c r="C187" s="445" t="s">
        <v>857</v>
      </c>
      <c r="D187" s="547" t="s">
        <v>1102</v>
      </c>
      <c r="E187" s="512">
        <v>24</v>
      </c>
      <c r="F187" s="516">
        <v>3.5</v>
      </c>
      <c r="G187" s="446">
        <f>E187*F187</f>
        <v>84</v>
      </c>
      <c r="H187" s="444">
        <f>G187*3.322+G188*3.322</f>
        <v>575.20000000000005</v>
      </c>
      <c r="I187" s="446">
        <f>ROUND(H187*1.25,2)</f>
        <v>719</v>
      </c>
      <c r="J187" s="446">
        <f>ROUND(H187*1.298,1)</f>
        <v>746.6</v>
      </c>
    </row>
    <row r="188" spans="1:10" x14ac:dyDescent="0.25">
      <c r="A188" s="459"/>
      <c r="B188" s="422" t="s">
        <v>1118</v>
      </c>
      <c r="C188" s="445"/>
      <c r="D188" s="443" t="s">
        <v>41</v>
      </c>
      <c r="E188" s="511">
        <v>12.92</v>
      </c>
      <c r="F188" s="516">
        <v>6.9</v>
      </c>
      <c r="G188" s="446">
        <f>E188*F188</f>
        <v>89.15</v>
      </c>
      <c r="H188" s="444"/>
      <c r="I188" s="446"/>
      <c r="J188" s="448"/>
    </row>
    <row r="189" spans="1:10" ht="9.75" customHeight="1" x14ac:dyDescent="0.25">
      <c r="A189" s="459"/>
      <c r="C189" s="445"/>
      <c r="D189" s="494"/>
      <c r="E189" s="511"/>
      <c r="F189" s="516"/>
      <c r="G189" s="446"/>
      <c r="H189" s="444"/>
      <c r="I189" s="446"/>
      <c r="J189" s="448"/>
    </row>
    <row r="190" spans="1:10" ht="12.75" customHeight="1" x14ac:dyDescent="0.25">
      <c r="A190" s="459"/>
      <c r="B190" s="490" t="s">
        <v>1119</v>
      </c>
      <c r="C190" s="445" t="s">
        <v>45</v>
      </c>
      <c r="D190" s="547" t="s">
        <v>1102</v>
      </c>
      <c r="E190" s="512">
        <v>24</v>
      </c>
      <c r="F190" s="516">
        <v>4</v>
      </c>
      <c r="G190" s="446">
        <f>E190*F190</f>
        <v>96</v>
      </c>
      <c r="H190" s="444">
        <f>G190*3.322+G191*3.322</f>
        <v>657.99</v>
      </c>
      <c r="I190" s="446">
        <f>ROUND(H190*1.25,2)</f>
        <v>822.49</v>
      </c>
      <c r="J190" s="446">
        <f>ROUND(H190*1.298,1)</f>
        <v>854.1</v>
      </c>
    </row>
    <row r="191" spans="1:10" ht="12" customHeight="1" x14ac:dyDescent="0.25">
      <c r="A191" s="459"/>
      <c r="B191" s="490"/>
      <c r="C191" s="445"/>
      <c r="D191" s="443" t="s">
        <v>41</v>
      </c>
      <c r="E191" s="511">
        <v>12.92</v>
      </c>
      <c r="F191" s="516">
        <v>7.9</v>
      </c>
      <c r="G191" s="446">
        <f>E191*F191</f>
        <v>102.07</v>
      </c>
      <c r="H191" s="444"/>
      <c r="I191" s="446"/>
      <c r="J191" s="448"/>
    </row>
    <row r="192" spans="1:10" ht="9" customHeight="1" x14ac:dyDescent="0.25">
      <c r="A192" s="459"/>
      <c r="B192" s="490"/>
      <c r="C192" s="445"/>
      <c r="D192" s="494"/>
      <c r="E192" s="511"/>
      <c r="F192" s="516"/>
      <c r="G192" s="446"/>
      <c r="H192" s="444"/>
      <c r="I192" s="446"/>
      <c r="J192" s="448"/>
    </row>
    <row r="193" spans="1:10" x14ac:dyDescent="0.25">
      <c r="A193" s="459"/>
      <c r="B193" s="490" t="s">
        <v>1120</v>
      </c>
      <c r="C193" s="445" t="s">
        <v>45</v>
      </c>
      <c r="D193" s="547" t="s">
        <v>1102</v>
      </c>
      <c r="E193" s="512">
        <v>24</v>
      </c>
      <c r="F193" s="516">
        <v>4.5</v>
      </c>
      <c r="G193" s="446">
        <f>E193*F193</f>
        <v>108</v>
      </c>
      <c r="H193" s="444">
        <f>G193*3.322+G194*3.322</f>
        <v>788.38</v>
      </c>
      <c r="I193" s="446">
        <f>ROUND(H193*1.25,2)</f>
        <v>985.48</v>
      </c>
      <c r="J193" s="446"/>
    </row>
    <row r="194" spans="1:10" ht="11.25" customHeight="1" x14ac:dyDescent="0.25">
      <c r="A194" s="459"/>
      <c r="B194" s="490"/>
      <c r="C194" s="445"/>
      <c r="D194" s="443" t="s">
        <v>42</v>
      </c>
      <c r="E194" s="511">
        <v>14.53</v>
      </c>
      <c r="F194" s="516">
        <v>8.9</v>
      </c>
      <c r="G194" s="446">
        <f>E194*F194</f>
        <v>129.32</v>
      </c>
      <c r="H194" s="444"/>
      <c r="I194" s="446"/>
      <c r="J194" s="448"/>
    </row>
    <row r="195" spans="1:10" ht="9" customHeight="1" x14ac:dyDescent="0.25">
      <c r="A195" s="459"/>
      <c r="B195" s="490"/>
      <c r="C195" s="445"/>
      <c r="D195" s="494"/>
      <c r="E195" s="511"/>
      <c r="F195" s="516"/>
      <c r="G195" s="446"/>
      <c r="H195" s="444"/>
      <c r="I195" s="446"/>
      <c r="J195" s="448"/>
    </row>
    <row r="196" spans="1:10" x14ac:dyDescent="0.25">
      <c r="A196" s="459"/>
      <c r="B196" s="490" t="s">
        <v>1121</v>
      </c>
      <c r="C196" s="445" t="s">
        <v>45</v>
      </c>
      <c r="D196" s="547" t="s">
        <v>1102</v>
      </c>
      <c r="E196" s="512">
        <v>24</v>
      </c>
      <c r="F196" s="516">
        <v>5</v>
      </c>
      <c r="G196" s="446">
        <f>E196*F196</f>
        <v>120</v>
      </c>
      <c r="H196" s="444">
        <f>G196*3.322+G197*3.322</f>
        <v>871.66</v>
      </c>
      <c r="I196" s="446">
        <f>ROUND(H196*1.25,2)</f>
        <v>1089.58</v>
      </c>
      <c r="J196" s="446"/>
    </row>
    <row r="197" spans="1:10" ht="12" customHeight="1" x14ac:dyDescent="0.25">
      <c r="A197" s="459"/>
      <c r="B197" s="490"/>
      <c r="C197" s="445"/>
      <c r="D197" s="443" t="s">
        <v>42</v>
      </c>
      <c r="E197" s="511">
        <v>14.53</v>
      </c>
      <c r="F197" s="516">
        <v>9.8000000000000007</v>
      </c>
      <c r="G197" s="446">
        <f>E197*F197</f>
        <v>142.38999999999999</v>
      </c>
      <c r="H197" s="444"/>
      <c r="I197" s="446"/>
      <c r="J197" s="448"/>
    </row>
    <row r="198" spans="1:10" ht="9" customHeight="1" x14ac:dyDescent="0.25">
      <c r="A198" s="459"/>
      <c r="B198" s="490"/>
      <c r="C198" s="445"/>
      <c r="D198" s="494"/>
      <c r="E198" s="511"/>
      <c r="F198" s="516"/>
      <c r="G198" s="446"/>
      <c r="H198" s="444"/>
      <c r="I198" s="446"/>
      <c r="J198" s="448"/>
    </row>
    <row r="199" spans="1:10" ht="11.25" customHeight="1" x14ac:dyDescent="0.25">
      <c r="A199" s="459"/>
      <c r="B199" s="490" t="s">
        <v>1122</v>
      </c>
      <c r="C199" s="445" t="s">
        <v>45</v>
      </c>
      <c r="D199" s="547" t="s">
        <v>1102</v>
      </c>
      <c r="E199" s="512">
        <v>24</v>
      </c>
      <c r="F199" s="516">
        <v>6</v>
      </c>
      <c r="G199" s="446">
        <f>E199*F199</f>
        <v>144</v>
      </c>
      <c r="H199" s="444">
        <f>G199*3.322+G200*3.322</f>
        <v>1143.3</v>
      </c>
      <c r="I199" s="446">
        <f>ROUND(H199*1.25,2)</f>
        <v>1429.13</v>
      </c>
      <c r="J199" s="446"/>
    </row>
    <row r="200" spans="1:10" x14ac:dyDescent="0.25">
      <c r="A200" s="459"/>
      <c r="B200" s="490"/>
      <c r="C200" s="445"/>
      <c r="D200" s="443" t="s">
        <v>54</v>
      </c>
      <c r="E200" s="511">
        <v>16.68</v>
      </c>
      <c r="F200" s="516">
        <v>12</v>
      </c>
      <c r="G200" s="446">
        <f>E200*F200</f>
        <v>200.16</v>
      </c>
      <c r="H200" s="444"/>
      <c r="I200" s="446"/>
      <c r="J200" s="448"/>
    </row>
    <row r="201" spans="1:10" ht="10.5" customHeight="1" x14ac:dyDescent="0.25">
      <c r="A201" s="459"/>
      <c r="B201" s="490"/>
      <c r="C201" s="445"/>
      <c r="D201" s="494"/>
      <c r="E201" s="511"/>
      <c r="F201" s="516"/>
      <c r="G201" s="446"/>
      <c r="H201" s="444"/>
      <c r="I201" s="446"/>
      <c r="J201" s="448"/>
    </row>
    <row r="202" spans="1:10" x14ac:dyDescent="0.25">
      <c r="A202" s="459"/>
      <c r="B202" s="490" t="s">
        <v>1123</v>
      </c>
      <c r="C202" s="445" t="s">
        <v>45</v>
      </c>
      <c r="D202" s="547" t="s">
        <v>1102</v>
      </c>
      <c r="E202" s="512">
        <v>24</v>
      </c>
      <c r="F202" s="516">
        <v>7</v>
      </c>
      <c r="G202" s="446">
        <f>E202*F202</f>
        <v>168</v>
      </c>
      <c r="H202" s="444">
        <f>G202*3.322+G203*3.322</f>
        <v>1721.73</v>
      </c>
      <c r="I202" s="446">
        <f>ROUND(H202*1.25,2)</f>
        <v>2152.16</v>
      </c>
      <c r="J202" s="446"/>
    </row>
    <row r="203" spans="1:10" ht="12" customHeight="1" x14ac:dyDescent="0.25">
      <c r="A203" s="459"/>
      <c r="B203" s="490"/>
      <c r="C203" s="445"/>
      <c r="D203" s="443" t="s">
        <v>54</v>
      </c>
      <c r="E203" s="512">
        <v>16.68</v>
      </c>
      <c r="F203" s="516">
        <v>21</v>
      </c>
      <c r="G203" s="446">
        <f>E203*F203</f>
        <v>350.28</v>
      </c>
      <c r="H203" s="444"/>
      <c r="I203" s="446"/>
      <c r="J203" s="448"/>
    </row>
    <row r="204" spans="1:10" x14ac:dyDescent="0.25">
      <c r="A204" s="459"/>
      <c r="B204" s="422" t="s">
        <v>1109</v>
      </c>
      <c r="C204" s="445"/>
      <c r="D204" s="494"/>
      <c r="E204" s="511"/>
      <c r="F204" s="516"/>
      <c r="G204" s="446"/>
      <c r="H204" s="444"/>
      <c r="I204" s="446"/>
      <c r="J204" s="448"/>
    </row>
    <row r="205" spans="1:10" x14ac:dyDescent="0.25">
      <c r="A205" s="459"/>
      <c r="B205" s="422" t="s">
        <v>1110</v>
      </c>
      <c r="C205" s="445"/>
      <c r="D205" s="494"/>
      <c r="E205" s="511"/>
      <c r="F205" s="516"/>
      <c r="G205" s="446"/>
      <c r="H205" s="444"/>
      <c r="I205" s="446"/>
      <c r="J205" s="448"/>
    </row>
    <row r="206" spans="1:10" ht="18.75" customHeight="1" x14ac:dyDescent="0.25">
      <c r="A206" s="548" t="s">
        <v>1124</v>
      </c>
      <c r="B206" s="422" t="s">
        <v>1125</v>
      </c>
      <c r="C206" s="514" t="s">
        <v>857</v>
      </c>
      <c r="D206" s="547" t="s">
        <v>1102</v>
      </c>
      <c r="E206" s="512">
        <v>24</v>
      </c>
      <c r="F206" s="516">
        <v>1.7</v>
      </c>
      <c r="G206" s="446">
        <f t="shared" ref="G206:G211" si="3">E206*F206</f>
        <v>40.799999999999997</v>
      </c>
      <c r="H206" s="444">
        <f>G206*3.322+G207*3.322</f>
        <v>299.64</v>
      </c>
      <c r="I206" s="446">
        <f>ROUND(H206*1.25,2)</f>
        <v>374.55</v>
      </c>
      <c r="J206" s="446">
        <f>ROUND(H206*1.298,1)</f>
        <v>388.9</v>
      </c>
    </row>
    <row r="207" spans="1:10" x14ac:dyDescent="0.25">
      <c r="A207" s="481"/>
      <c r="B207" s="422" t="s">
        <v>1126</v>
      </c>
      <c r="C207" s="515"/>
      <c r="D207" s="443" t="s">
        <v>42</v>
      </c>
      <c r="E207" s="511">
        <v>14.53</v>
      </c>
      <c r="F207" s="516">
        <v>3.4</v>
      </c>
      <c r="G207" s="446">
        <f t="shared" si="3"/>
        <v>49.4</v>
      </c>
      <c r="H207" s="444"/>
      <c r="I207" s="446"/>
      <c r="J207" s="448"/>
    </row>
    <row r="208" spans="1:10" ht="18.75" customHeight="1" x14ac:dyDescent="0.25">
      <c r="A208" s="549"/>
      <c r="B208" s="422" t="s">
        <v>1127</v>
      </c>
      <c r="C208" s="445" t="s">
        <v>45</v>
      </c>
      <c r="D208" s="547" t="s">
        <v>1102</v>
      </c>
      <c r="E208" s="512">
        <v>24</v>
      </c>
      <c r="F208" s="516">
        <v>2.4</v>
      </c>
      <c r="G208" s="446">
        <f t="shared" si="3"/>
        <v>57.6</v>
      </c>
      <c r="H208" s="444">
        <f>G208*3.322+G209*3.322</f>
        <v>423.02</v>
      </c>
      <c r="I208" s="446">
        <f>ROUND(H208*1.25,2)</f>
        <v>528.78</v>
      </c>
      <c r="J208" s="446">
        <f>ROUND(H208*1.298,1)</f>
        <v>549.1</v>
      </c>
    </row>
    <row r="209" spans="1:10" ht="12.75" customHeight="1" x14ac:dyDescent="0.25">
      <c r="A209" s="481"/>
      <c r="C209" s="515"/>
      <c r="D209" s="443" t="s">
        <v>42</v>
      </c>
      <c r="E209" s="511">
        <v>14.53</v>
      </c>
      <c r="F209" s="516">
        <v>4.8</v>
      </c>
      <c r="G209" s="446">
        <f t="shared" si="3"/>
        <v>69.739999999999995</v>
      </c>
      <c r="H209" s="444"/>
      <c r="I209" s="446"/>
      <c r="J209" s="448"/>
    </row>
    <row r="210" spans="1:10" ht="18.75" customHeight="1" x14ac:dyDescent="0.25">
      <c r="A210" s="549"/>
      <c r="B210" s="521" t="s">
        <v>1128</v>
      </c>
      <c r="C210" s="445" t="s">
        <v>45</v>
      </c>
      <c r="D210" s="547" t="s">
        <v>1102</v>
      </c>
      <c r="E210" s="512">
        <v>24</v>
      </c>
      <c r="F210" s="516">
        <v>3.5</v>
      </c>
      <c r="G210" s="446">
        <f t="shared" si="3"/>
        <v>84</v>
      </c>
      <c r="H210" s="444">
        <f>G210*3.322+G211*3.322</f>
        <v>616.92999999999995</v>
      </c>
      <c r="I210" s="446">
        <f>ROUND(H210*1.25,2)</f>
        <v>771.16</v>
      </c>
      <c r="J210" s="446">
        <f>ROUND(H210*1.298,1)</f>
        <v>800.8</v>
      </c>
    </row>
    <row r="211" spans="1:10" x14ac:dyDescent="0.25">
      <c r="A211" s="481"/>
      <c r="C211" s="515"/>
      <c r="D211" s="443" t="s">
        <v>42</v>
      </c>
      <c r="E211" s="511">
        <v>14.53</v>
      </c>
      <c r="F211" s="516">
        <v>7</v>
      </c>
      <c r="G211" s="446">
        <f t="shared" si="3"/>
        <v>101.71</v>
      </c>
      <c r="H211" s="444"/>
      <c r="I211" s="446"/>
      <c r="J211" s="448"/>
    </row>
    <row r="212" spans="1:10" ht="11.25" customHeight="1" x14ac:dyDescent="0.25">
      <c r="A212" s="481"/>
      <c r="B212" s="521" t="s">
        <v>1129</v>
      </c>
      <c r="C212" s="515"/>
      <c r="D212" s="483"/>
      <c r="E212" s="511"/>
      <c r="F212" s="516"/>
      <c r="G212" s="446"/>
      <c r="H212" s="444"/>
      <c r="I212" s="446"/>
      <c r="J212" s="448"/>
    </row>
    <row r="213" spans="1:10" x14ac:dyDescent="0.25">
      <c r="A213" s="481"/>
      <c r="B213" s="521" t="s">
        <v>1130</v>
      </c>
      <c r="C213" s="515"/>
      <c r="D213" s="483"/>
      <c r="E213" s="511"/>
      <c r="F213" s="516"/>
      <c r="G213" s="446"/>
      <c r="H213" s="444"/>
      <c r="I213" s="446"/>
      <c r="J213" s="448"/>
    </row>
    <row r="214" spans="1:10" ht="15.75" customHeight="1" x14ac:dyDescent="0.25">
      <c r="A214" s="548" t="s">
        <v>1131</v>
      </c>
      <c r="B214" s="422" t="s">
        <v>1132</v>
      </c>
      <c r="C214" s="514" t="s">
        <v>857</v>
      </c>
      <c r="D214" s="547" t="s">
        <v>1102</v>
      </c>
      <c r="E214" s="512">
        <v>24</v>
      </c>
      <c r="F214" s="516">
        <v>1.1000000000000001</v>
      </c>
      <c r="G214" s="446">
        <f t="shared" ref="G214:G219" si="4">E214*F214</f>
        <v>26.4</v>
      </c>
      <c r="H214" s="444">
        <f>G214*3.322+G215*3.322</f>
        <v>182.11</v>
      </c>
      <c r="I214" s="446">
        <f>ROUND(H214*1.25,2)</f>
        <v>227.64</v>
      </c>
      <c r="J214" s="446">
        <f>ROUND(H214*1.298,1)</f>
        <v>236.4</v>
      </c>
    </row>
    <row r="215" spans="1:10" ht="12" customHeight="1" x14ac:dyDescent="0.25">
      <c r="A215" s="481"/>
      <c r="C215" s="515"/>
      <c r="D215" s="443" t="s">
        <v>41</v>
      </c>
      <c r="E215" s="511">
        <v>12.92</v>
      </c>
      <c r="F215" s="516">
        <v>2.2000000000000002</v>
      </c>
      <c r="G215" s="446">
        <f t="shared" si="4"/>
        <v>28.42</v>
      </c>
      <c r="H215" s="444"/>
      <c r="I215" s="446"/>
      <c r="J215" s="448"/>
    </row>
    <row r="216" spans="1:10" ht="16.5" customHeight="1" x14ac:dyDescent="0.25">
      <c r="A216" s="549"/>
      <c r="B216" s="490" t="s">
        <v>1133</v>
      </c>
      <c r="C216" s="514" t="s">
        <v>45</v>
      </c>
      <c r="D216" s="547" t="s">
        <v>1102</v>
      </c>
      <c r="E216" s="512">
        <v>24</v>
      </c>
      <c r="F216" s="516">
        <v>1.6</v>
      </c>
      <c r="G216" s="446">
        <f t="shared" si="4"/>
        <v>38.4</v>
      </c>
      <c r="H216" s="444">
        <f>G216*3.322+G217*3.322</f>
        <v>264.89999999999998</v>
      </c>
      <c r="I216" s="446">
        <f>ROUND(H216*1.25,2)</f>
        <v>331.13</v>
      </c>
      <c r="J216" s="446">
        <f>ROUND(H216*1.298,1)</f>
        <v>343.8</v>
      </c>
    </row>
    <row r="217" spans="1:10" x14ac:dyDescent="0.25">
      <c r="A217" s="481"/>
      <c r="B217" s="490"/>
      <c r="C217" s="515"/>
      <c r="D217" s="443" t="s">
        <v>41</v>
      </c>
      <c r="E217" s="511">
        <v>12.92</v>
      </c>
      <c r="F217" s="516">
        <v>3.2</v>
      </c>
      <c r="G217" s="446">
        <f t="shared" si="4"/>
        <v>41.34</v>
      </c>
      <c r="H217" s="444"/>
      <c r="I217" s="446"/>
      <c r="J217" s="448"/>
    </row>
    <row r="218" spans="1:10" ht="15" customHeight="1" x14ac:dyDescent="0.25">
      <c r="A218" s="549"/>
      <c r="B218" s="490" t="s">
        <v>1134</v>
      </c>
      <c r="C218" s="514" t="s">
        <v>45</v>
      </c>
      <c r="D218" s="547" t="s">
        <v>1102</v>
      </c>
      <c r="E218" s="512">
        <v>24</v>
      </c>
      <c r="F218" s="516">
        <v>2.1</v>
      </c>
      <c r="G218" s="446">
        <f t="shared" si="4"/>
        <v>50.4</v>
      </c>
      <c r="H218" s="444">
        <f>G218*3.322+G219*3.322</f>
        <v>347.68</v>
      </c>
      <c r="I218" s="446">
        <f>ROUND(H218*1.25,2)</f>
        <v>434.6</v>
      </c>
      <c r="J218" s="446">
        <f>ROUND(H218*1.298,1)</f>
        <v>451.3</v>
      </c>
    </row>
    <row r="219" spans="1:10" x14ac:dyDescent="0.25">
      <c r="A219" s="481"/>
      <c r="C219" s="515"/>
      <c r="D219" s="443" t="s">
        <v>41</v>
      </c>
      <c r="E219" s="511">
        <v>12.92</v>
      </c>
      <c r="F219" s="516">
        <v>4.2</v>
      </c>
      <c r="G219" s="446">
        <f t="shared" si="4"/>
        <v>54.26</v>
      </c>
      <c r="H219" s="444"/>
      <c r="I219" s="446"/>
      <c r="J219" s="448"/>
    </row>
    <row r="220" spans="1:10" ht="8.25" customHeight="1" x14ac:dyDescent="0.25">
      <c r="A220" s="481"/>
      <c r="C220" s="515"/>
      <c r="D220" s="483"/>
      <c r="E220" s="511"/>
      <c r="F220" s="516"/>
      <c r="G220" s="446"/>
      <c r="H220" s="444"/>
      <c r="I220" s="446"/>
      <c r="J220" s="448"/>
    </row>
    <row r="221" spans="1:10" x14ac:dyDescent="0.25">
      <c r="A221" s="549" t="s">
        <v>1135</v>
      </c>
      <c r="B221" s="422" t="s">
        <v>1136</v>
      </c>
      <c r="C221" s="514" t="s">
        <v>928</v>
      </c>
      <c r="D221" s="547" t="s">
        <v>1102</v>
      </c>
      <c r="E221" s="512">
        <v>24</v>
      </c>
      <c r="F221" s="516">
        <v>1.55</v>
      </c>
      <c r="G221" s="446">
        <f>E221*F221</f>
        <v>37.200000000000003</v>
      </c>
      <c r="H221" s="444">
        <f>G221*3.322+G222*3.322</f>
        <v>256.62</v>
      </c>
      <c r="I221" s="446">
        <f>ROUND(H221*1.25,2)</f>
        <v>320.77999999999997</v>
      </c>
      <c r="J221" s="446">
        <f>ROUND(H221*1.298,1)</f>
        <v>333.1</v>
      </c>
    </row>
    <row r="222" spans="1:10" x14ac:dyDescent="0.25">
      <c r="A222" s="481"/>
      <c r="B222" s="422" t="s">
        <v>1118</v>
      </c>
      <c r="C222" s="514"/>
      <c r="D222" s="443" t="s">
        <v>41</v>
      </c>
      <c r="E222" s="511">
        <v>12.92</v>
      </c>
      <c r="F222" s="516">
        <v>3.1</v>
      </c>
      <c r="G222" s="446">
        <f>E222*F222</f>
        <v>40.049999999999997</v>
      </c>
      <c r="H222" s="444"/>
      <c r="I222" s="446"/>
      <c r="J222" s="448"/>
    </row>
    <row r="223" spans="1:10" ht="11.25" customHeight="1" x14ac:dyDescent="0.25">
      <c r="A223" s="481"/>
      <c r="C223" s="514"/>
      <c r="D223" s="550"/>
      <c r="E223" s="511"/>
      <c r="F223" s="516"/>
      <c r="G223" s="446"/>
      <c r="H223" s="444"/>
      <c r="I223" s="446"/>
      <c r="J223" s="448"/>
    </row>
    <row r="224" spans="1:10" x14ac:dyDescent="0.25">
      <c r="A224" s="459"/>
      <c r="B224" s="422" t="s">
        <v>1103</v>
      </c>
      <c r="C224" s="445" t="s">
        <v>45</v>
      </c>
      <c r="D224" s="547" t="s">
        <v>1102</v>
      </c>
      <c r="E224" s="512">
        <v>24</v>
      </c>
      <c r="F224" s="516">
        <v>2</v>
      </c>
      <c r="G224" s="446">
        <f>E224*F224</f>
        <v>48</v>
      </c>
      <c r="H224" s="444">
        <f>G224*3.322+G225*3.322</f>
        <v>331.14</v>
      </c>
      <c r="I224" s="446">
        <f>ROUND(H224*1.25,2)</f>
        <v>413.93</v>
      </c>
      <c r="J224" s="446">
        <f>ROUND(H224*1.298,1)</f>
        <v>429.8</v>
      </c>
    </row>
    <row r="225" spans="1:10" x14ac:dyDescent="0.25">
      <c r="A225" s="459"/>
      <c r="C225" s="445"/>
      <c r="D225" s="443" t="s">
        <v>41</v>
      </c>
      <c r="E225" s="511">
        <v>12.92</v>
      </c>
      <c r="F225" s="516">
        <v>4</v>
      </c>
      <c r="G225" s="446">
        <f>E225*F225</f>
        <v>51.68</v>
      </c>
      <c r="H225" s="444"/>
      <c r="I225" s="446"/>
      <c r="J225" s="448"/>
    </row>
    <row r="226" spans="1:10" ht="9" customHeight="1" x14ac:dyDescent="0.25">
      <c r="A226" s="459"/>
      <c r="C226" s="445"/>
      <c r="D226" s="483"/>
      <c r="E226" s="511"/>
      <c r="F226" s="516"/>
      <c r="G226" s="446"/>
      <c r="H226" s="444"/>
      <c r="I226" s="446"/>
      <c r="J226" s="448"/>
    </row>
    <row r="227" spans="1:10" ht="15" customHeight="1" x14ac:dyDescent="0.25">
      <c r="A227" s="459"/>
      <c r="B227" s="422" t="s">
        <v>1104</v>
      </c>
      <c r="C227" s="445" t="s">
        <v>45</v>
      </c>
      <c r="D227" s="547" t="s">
        <v>1102</v>
      </c>
      <c r="E227" s="512">
        <v>24</v>
      </c>
      <c r="F227" s="516">
        <v>2.4</v>
      </c>
      <c r="G227" s="446">
        <f>E227*F227</f>
        <v>57.6</v>
      </c>
      <c r="H227" s="444">
        <f>G227*3.322+G228*3.322</f>
        <v>397.38</v>
      </c>
      <c r="I227" s="446">
        <f>ROUND(H227*1.25,2)</f>
        <v>496.73</v>
      </c>
      <c r="J227" s="446"/>
    </row>
    <row r="228" spans="1:10" ht="12" customHeight="1" x14ac:dyDescent="0.25">
      <c r="A228" s="459"/>
      <c r="C228" s="445"/>
      <c r="D228" s="443" t="s">
        <v>41</v>
      </c>
      <c r="E228" s="511">
        <v>12.92</v>
      </c>
      <c r="F228" s="516">
        <v>4.8</v>
      </c>
      <c r="G228" s="446">
        <f>E228*F228</f>
        <v>62.02</v>
      </c>
      <c r="H228" s="444"/>
      <c r="I228" s="446"/>
      <c r="J228" s="448"/>
    </row>
    <row r="229" spans="1:10" ht="10.5" customHeight="1" x14ac:dyDescent="0.25">
      <c r="A229" s="459"/>
      <c r="C229" s="445"/>
      <c r="D229" s="494"/>
      <c r="E229" s="511"/>
      <c r="F229" s="516"/>
      <c r="G229" s="446"/>
      <c r="H229" s="444"/>
      <c r="I229" s="446"/>
      <c r="J229" s="448"/>
    </row>
    <row r="230" spans="1:10" x14ac:dyDescent="0.25">
      <c r="A230" s="459"/>
      <c r="B230" s="422" t="s">
        <v>1137</v>
      </c>
      <c r="C230" s="445" t="s">
        <v>45</v>
      </c>
      <c r="D230" s="547" t="s">
        <v>1102</v>
      </c>
      <c r="E230" s="512">
        <v>24</v>
      </c>
      <c r="F230" s="516">
        <v>2.8</v>
      </c>
      <c r="G230" s="446">
        <f>E230*F230</f>
        <v>67.2</v>
      </c>
      <c r="H230" s="444">
        <f>G230*3.322+G231*3.322</f>
        <v>493.55</v>
      </c>
      <c r="I230" s="446">
        <f>ROUND(H230*1.25,2)</f>
        <v>616.94000000000005</v>
      </c>
      <c r="J230" s="446"/>
    </row>
    <row r="231" spans="1:10" x14ac:dyDescent="0.25">
      <c r="A231" s="459"/>
      <c r="C231" s="445"/>
      <c r="D231" s="443" t="s">
        <v>42</v>
      </c>
      <c r="E231" s="511">
        <v>14.53</v>
      </c>
      <c r="F231" s="516">
        <v>5.6</v>
      </c>
      <c r="G231" s="446">
        <f>E231*F231</f>
        <v>81.37</v>
      </c>
      <c r="H231" s="444"/>
      <c r="I231" s="446"/>
      <c r="J231" s="448"/>
    </row>
    <row r="232" spans="1:10" ht="10.5" customHeight="1" x14ac:dyDescent="0.25">
      <c r="A232" s="459"/>
      <c r="C232" s="445"/>
      <c r="D232" s="494"/>
      <c r="E232" s="511"/>
      <c r="F232" s="516"/>
      <c r="G232" s="446"/>
      <c r="H232" s="444"/>
      <c r="I232" s="446"/>
      <c r="J232" s="448"/>
    </row>
    <row r="233" spans="1:10" x14ac:dyDescent="0.25">
      <c r="A233" s="459"/>
      <c r="B233" s="422" t="s">
        <v>1107</v>
      </c>
      <c r="C233" s="445" t="s">
        <v>45</v>
      </c>
      <c r="D233" s="547" t="s">
        <v>1102</v>
      </c>
      <c r="E233" s="512">
        <v>24</v>
      </c>
      <c r="F233" s="516">
        <v>3.7</v>
      </c>
      <c r="G233" s="446">
        <f>E233*F233</f>
        <v>88.8</v>
      </c>
      <c r="H233" s="444">
        <f>G233*3.322+G234*3.322</f>
        <v>705.03</v>
      </c>
      <c r="I233" s="446">
        <f>ROUND(H233*1.25,2)</f>
        <v>881.29</v>
      </c>
      <c r="J233" s="446"/>
    </row>
    <row r="234" spans="1:10" x14ac:dyDescent="0.25">
      <c r="A234" s="459"/>
      <c r="C234" s="445"/>
      <c r="D234" s="443" t="s">
        <v>54</v>
      </c>
      <c r="E234" s="511">
        <v>16.68</v>
      </c>
      <c r="F234" s="516">
        <v>7.4</v>
      </c>
      <c r="G234" s="446">
        <f>E234*F234</f>
        <v>123.43</v>
      </c>
      <c r="H234" s="444"/>
      <c r="I234" s="446"/>
      <c r="J234" s="448"/>
    </row>
    <row r="235" spans="1:10" ht="10.5" customHeight="1" x14ac:dyDescent="0.25">
      <c r="A235" s="459"/>
      <c r="C235" s="445"/>
      <c r="D235" s="494"/>
      <c r="E235" s="511"/>
      <c r="F235" s="516"/>
      <c r="G235" s="446"/>
      <c r="H235" s="444"/>
      <c r="I235" s="446"/>
      <c r="J235" s="448"/>
    </row>
    <row r="236" spans="1:10" x14ac:dyDescent="0.25">
      <c r="A236" s="459"/>
      <c r="B236" s="422" t="s">
        <v>1108</v>
      </c>
      <c r="C236" s="445" t="s">
        <v>45</v>
      </c>
      <c r="D236" s="547" t="s">
        <v>1102</v>
      </c>
      <c r="E236" s="512">
        <v>24</v>
      </c>
      <c r="F236" s="516">
        <v>4.0999999999999996</v>
      </c>
      <c r="G236" s="446">
        <f>E236*F236</f>
        <v>98.4</v>
      </c>
      <c r="H236" s="444">
        <f>G236*3.322+G237*3.322</f>
        <v>781.27</v>
      </c>
      <c r="I236" s="446">
        <f>ROUND(H236*1.25,2)</f>
        <v>976.59</v>
      </c>
      <c r="J236" s="446"/>
    </row>
    <row r="237" spans="1:10" x14ac:dyDescent="0.25">
      <c r="A237" s="459"/>
      <c r="C237" s="445"/>
      <c r="D237" s="443" t="s">
        <v>54</v>
      </c>
      <c r="E237" s="511">
        <v>16.68</v>
      </c>
      <c r="F237" s="516">
        <v>8.1999999999999993</v>
      </c>
      <c r="G237" s="446">
        <f>E237*F237</f>
        <v>136.78</v>
      </c>
      <c r="H237" s="444"/>
      <c r="I237" s="446"/>
      <c r="J237" s="448"/>
    </row>
    <row r="238" spans="1:10" ht="9.75" customHeight="1" x14ac:dyDescent="0.25">
      <c r="A238" s="459"/>
      <c r="C238" s="445"/>
      <c r="D238" s="494"/>
      <c r="E238" s="511"/>
      <c r="F238" s="516"/>
      <c r="G238" s="446"/>
      <c r="H238" s="444"/>
      <c r="I238" s="446"/>
      <c r="J238" s="448"/>
    </row>
    <row r="239" spans="1:10" x14ac:dyDescent="0.25">
      <c r="A239" s="459" t="s">
        <v>1138</v>
      </c>
      <c r="B239" s="422" t="s">
        <v>1139</v>
      </c>
      <c r="C239" s="445" t="s">
        <v>932</v>
      </c>
      <c r="D239" s="443" t="s">
        <v>41</v>
      </c>
      <c r="E239" s="511">
        <v>12.92</v>
      </c>
      <c r="F239" s="516">
        <v>7.1</v>
      </c>
      <c r="G239" s="446">
        <f>E239*F239</f>
        <v>91.73</v>
      </c>
      <c r="H239" s="444">
        <f>G239*3.322</f>
        <v>304.73</v>
      </c>
      <c r="I239" s="446">
        <f>ROUND(H239*1.25,2)</f>
        <v>380.91</v>
      </c>
      <c r="J239" s="446">
        <f>ROUND(H239*1.298,1)</f>
        <v>395.5</v>
      </c>
    </row>
    <row r="240" spans="1:10" ht="15" customHeight="1" x14ac:dyDescent="0.25">
      <c r="A240" s="459"/>
      <c r="B240" s="422" t="s">
        <v>1140</v>
      </c>
      <c r="C240" s="445"/>
      <c r="D240" s="494"/>
      <c r="E240" s="511"/>
      <c r="F240" s="516"/>
      <c r="G240" s="517"/>
      <c r="H240" s="518"/>
      <c r="I240" s="517"/>
      <c r="J240" s="460"/>
    </row>
    <row r="241" spans="1:10" x14ac:dyDescent="0.25">
      <c r="A241" s="459"/>
      <c r="B241" s="521" t="s">
        <v>1141</v>
      </c>
      <c r="C241" s="445"/>
      <c r="D241" s="494"/>
      <c r="E241" s="511"/>
      <c r="F241" s="516"/>
      <c r="G241" s="517"/>
      <c r="H241" s="518"/>
      <c r="I241" s="517"/>
      <c r="J241" s="460"/>
    </row>
    <row r="242" spans="1:10" x14ac:dyDescent="0.25">
      <c r="A242" s="459"/>
      <c r="B242" s="422" t="s">
        <v>1142</v>
      </c>
      <c r="C242" s="445"/>
      <c r="D242" s="494"/>
      <c r="E242" s="511"/>
      <c r="F242" s="516"/>
      <c r="G242" s="517"/>
      <c r="H242" s="518"/>
      <c r="I242" s="517"/>
      <c r="J242" s="460"/>
    </row>
    <row r="243" spans="1:10" ht="19.5" customHeight="1" x14ac:dyDescent="0.25">
      <c r="A243" s="459" t="s">
        <v>1143</v>
      </c>
      <c r="B243" s="422" t="s">
        <v>1144</v>
      </c>
      <c r="C243" s="445" t="s">
        <v>932</v>
      </c>
      <c r="D243" s="443" t="s">
        <v>41</v>
      </c>
      <c r="E243" s="511">
        <v>12.92</v>
      </c>
      <c r="F243" s="516">
        <v>12.7</v>
      </c>
      <c r="G243" s="446">
        <f>E243*F243</f>
        <v>164.08</v>
      </c>
      <c r="H243" s="444">
        <f>G243*3.322</f>
        <v>545.07000000000005</v>
      </c>
      <c r="I243" s="446">
        <f>ROUND(H243*1.25,2)</f>
        <v>681.34</v>
      </c>
      <c r="J243" s="446">
        <f>ROUND(H243*1.298,1)</f>
        <v>707.5</v>
      </c>
    </row>
    <row r="244" spans="1:10" x14ac:dyDescent="0.25">
      <c r="A244" s="459"/>
      <c r="C244" s="445"/>
      <c r="D244" s="494"/>
      <c r="E244" s="511"/>
      <c r="F244" s="516"/>
      <c r="G244" s="517"/>
      <c r="H244" s="544"/>
      <c r="I244" s="517"/>
      <c r="J244" s="460"/>
    </row>
    <row r="245" spans="1:10" x14ac:dyDescent="0.25">
      <c r="A245" s="459" t="s">
        <v>1145</v>
      </c>
      <c r="B245" s="502" t="s">
        <v>1146</v>
      </c>
      <c r="C245" s="445"/>
      <c r="D245" s="494"/>
      <c r="E245" s="511"/>
      <c r="F245" s="516"/>
      <c r="G245" s="517"/>
      <c r="H245" s="518"/>
      <c r="I245" s="517"/>
      <c r="J245" s="460"/>
    </row>
    <row r="246" spans="1:10" x14ac:dyDescent="0.25">
      <c r="A246" s="459"/>
      <c r="B246" s="422" t="s">
        <v>1147</v>
      </c>
      <c r="C246" s="445" t="s">
        <v>1148</v>
      </c>
      <c r="D246" s="443" t="s">
        <v>42</v>
      </c>
      <c r="E246" s="511">
        <v>14.53</v>
      </c>
      <c r="F246" s="516">
        <v>2.74</v>
      </c>
      <c r="G246" s="446">
        <f t="shared" ref="G246:G252" si="5">E246*F246</f>
        <v>39.81</v>
      </c>
      <c r="H246" s="444">
        <f>G246*3.322</f>
        <v>132.25</v>
      </c>
      <c r="I246" s="446">
        <f t="shared" ref="I246:I252" si="6">ROUND(H246*1.25,2)</f>
        <v>165.31</v>
      </c>
      <c r="J246" s="446"/>
    </row>
    <row r="247" spans="1:10" x14ac:dyDescent="0.25">
      <c r="A247" s="459"/>
      <c r="B247" s="501" t="s">
        <v>1149</v>
      </c>
      <c r="C247" s="445" t="s">
        <v>45</v>
      </c>
      <c r="D247" s="443" t="s">
        <v>42</v>
      </c>
      <c r="E247" s="511">
        <v>14.53</v>
      </c>
      <c r="F247" s="516">
        <v>7.88</v>
      </c>
      <c r="G247" s="446">
        <f t="shared" si="5"/>
        <v>114.5</v>
      </c>
      <c r="H247" s="444">
        <f t="shared" ref="H247:H252" si="7">G247*3.322</f>
        <v>380.37</v>
      </c>
      <c r="I247" s="446">
        <f t="shared" si="6"/>
        <v>475.46</v>
      </c>
      <c r="J247" s="446"/>
    </row>
    <row r="248" spans="1:10" x14ac:dyDescent="0.25">
      <c r="A248" s="459"/>
      <c r="B248" s="501" t="s">
        <v>1150</v>
      </c>
      <c r="C248" s="445" t="s">
        <v>45</v>
      </c>
      <c r="D248" s="443" t="s">
        <v>42</v>
      </c>
      <c r="E248" s="511">
        <v>14.53</v>
      </c>
      <c r="F248" s="516">
        <v>13</v>
      </c>
      <c r="G248" s="446">
        <f t="shared" si="5"/>
        <v>188.89</v>
      </c>
      <c r="H248" s="444">
        <f t="shared" si="7"/>
        <v>627.49</v>
      </c>
      <c r="I248" s="446">
        <f t="shared" si="6"/>
        <v>784.36</v>
      </c>
      <c r="J248" s="446"/>
    </row>
    <row r="249" spans="1:10" x14ac:dyDescent="0.25">
      <c r="A249" s="459"/>
      <c r="B249" s="501" t="s">
        <v>1151</v>
      </c>
      <c r="C249" s="445" t="s">
        <v>45</v>
      </c>
      <c r="D249" s="443" t="s">
        <v>42</v>
      </c>
      <c r="E249" s="511">
        <v>14.53</v>
      </c>
      <c r="F249" s="516">
        <v>18.14</v>
      </c>
      <c r="G249" s="446">
        <f t="shared" si="5"/>
        <v>263.57</v>
      </c>
      <c r="H249" s="444">
        <f t="shared" si="7"/>
        <v>875.58</v>
      </c>
      <c r="I249" s="446">
        <f t="shared" si="6"/>
        <v>1094.48</v>
      </c>
      <c r="J249" s="446"/>
    </row>
    <row r="250" spans="1:10" x14ac:dyDescent="0.25">
      <c r="A250" s="459"/>
      <c r="B250" s="490" t="s">
        <v>1152</v>
      </c>
      <c r="C250" s="445" t="s">
        <v>45</v>
      </c>
      <c r="D250" s="443" t="s">
        <v>42</v>
      </c>
      <c r="E250" s="511">
        <v>14.53</v>
      </c>
      <c r="F250" s="516">
        <v>23.3</v>
      </c>
      <c r="G250" s="446">
        <f t="shared" si="5"/>
        <v>338.55</v>
      </c>
      <c r="H250" s="444">
        <f t="shared" si="7"/>
        <v>1124.6600000000001</v>
      </c>
      <c r="I250" s="446">
        <f t="shared" si="6"/>
        <v>1405.83</v>
      </c>
      <c r="J250" s="446"/>
    </row>
    <row r="251" spans="1:10" x14ac:dyDescent="0.25">
      <c r="A251" s="459"/>
      <c r="B251" s="490" t="s">
        <v>1153</v>
      </c>
      <c r="C251" s="445" t="s">
        <v>45</v>
      </c>
      <c r="D251" s="443" t="s">
        <v>42</v>
      </c>
      <c r="E251" s="511">
        <v>14.53</v>
      </c>
      <c r="F251" s="516">
        <v>28.5</v>
      </c>
      <c r="G251" s="446">
        <f t="shared" si="5"/>
        <v>414.11</v>
      </c>
      <c r="H251" s="444">
        <f t="shared" si="7"/>
        <v>1375.67</v>
      </c>
      <c r="I251" s="446">
        <f t="shared" si="6"/>
        <v>1719.59</v>
      </c>
      <c r="J251" s="446"/>
    </row>
    <row r="252" spans="1:10" x14ac:dyDescent="0.25">
      <c r="A252" s="459"/>
      <c r="B252" s="490" t="s">
        <v>1154</v>
      </c>
      <c r="C252" s="445" t="s">
        <v>45</v>
      </c>
      <c r="D252" s="443" t="s">
        <v>42</v>
      </c>
      <c r="E252" s="511">
        <v>14.53</v>
      </c>
      <c r="F252" s="516">
        <v>33.700000000000003</v>
      </c>
      <c r="G252" s="446">
        <f t="shared" si="5"/>
        <v>489.66</v>
      </c>
      <c r="H252" s="444">
        <f t="shared" si="7"/>
        <v>1626.65</v>
      </c>
      <c r="I252" s="446">
        <f t="shared" si="6"/>
        <v>2033.31</v>
      </c>
      <c r="J252" s="446"/>
    </row>
    <row r="253" spans="1:10" x14ac:dyDescent="0.25">
      <c r="A253" s="459"/>
      <c r="C253" s="445"/>
      <c r="D253" s="494"/>
      <c r="E253" s="511"/>
      <c r="F253" s="516"/>
      <c r="G253" s="517"/>
      <c r="H253" s="544"/>
      <c r="I253" s="517"/>
      <c r="J253" s="460"/>
    </row>
    <row r="254" spans="1:10" x14ac:dyDescent="0.25">
      <c r="A254" s="459" t="s">
        <v>1155</v>
      </c>
      <c r="B254" s="502" t="s">
        <v>1156</v>
      </c>
      <c r="C254" s="445"/>
      <c r="D254" s="494"/>
      <c r="E254" s="511"/>
      <c r="F254" s="516"/>
      <c r="G254" s="517"/>
      <c r="H254" s="518"/>
      <c r="I254" s="517"/>
      <c r="J254" s="460"/>
    </row>
    <row r="255" spans="1:10" x14ac:dyDescent="0.25">
      <c r="A255" s="459"/>
      <c r="B255" s="422" t="s">
        <v>1157</v>
      </c>
      <c r="C255" s="445" t="s">
        <v>1148</v>
      </c>
      <c r="D255" s="443" t="s">
        <v>41</v>
      </c>
      <c r="E255" s="511">
        <v>12.92</v>
      </c>
      <c r="F255" s="516">
        <v>2.74</v>
      </c>
      <c r="G255" s="446">
        <f>E255*F255</f>
        <v>35.4</v>
      </c>
      <c r="H255" s="444">
        <f>G255*3.322</f>
        <v>117.6</v>
      </c>
      <c r="I255" s="446">
        <f>ROUND(H255*1.25,2)</f>
        <v>147</v>
      </c>
      <c r="J255" s="446">
        <f>ROUND(H255*1.298,1)</f>
        <v>152.6</v>
      </c>
    </row>
    <row r="256" spans="1:10" x14ac:dyDescent="0.25">
      <c r="A256" s="459"/>
      <c r="B256" s="421" t="s">
        <v>1158</v>
      </c>
      <c r="C256" s="445" t="s">
        <v>45</v>
      </c>
      <c r="D256" s="443" t="s">
        <v>41</v>
      </c>
      <c r="E256" s="511">
        <v>12.92</v>
      </c>
      <c r="F256" s="516">
        <v>7.88</v>
      </c>
      <c r="G256" s="446">
        <f>E256*F256</f>
        <v>101.81</v>
      </c>
      <c r="H256" s="444">
        <f>G256*3.322</f>
        <v>338.21</v>
      </c>
      <c r="I256" s="446">
        <f>ROUND(H256*1.25,2)</f>
        <v>422.76</v>
      </c>
      <c r="J256" s="446">
        <f>ROUND(H256*1.298,1)</f>
        <v>439</v>
      </c>
    </row>
    <row r="257" spans="1:10" x14ac:dyDescent="0.25">
      <c r="A257" s="459"/>
      <c r="B257" s="421" t="s">
        <v>1159</v>
      </c>
      <c r="C257" s="445" t="s">
        <v>45</v>
      </c>
      <c r="D257" s="443" t="s">
        <v>41</v>
      </c>
      <c r="E257" s="511">
        <v>12.92</v>
      </c>
      <c r="F257" s="516">
        <v>13</v>
      </c>
      <c r="G257" s="446">
        <f>E257*F257</f>
        <v>167.96</v>
      </c>
      <c r="H257" s="444">
        <f>G257*3.322</f>
        <v>557.96</v>
      </c>
      <c r="I257" s="446">
        <f>ROUND(H257*1.25,2)</f>
        <v>697.45</v>
      </c>
      <c r="J257" s="446"/>
    </row>
    <row r="258" spans="1:10" x14ac:dyDescent="0.25">
      <c r="A258" s="459"/>
      <c r="C258" s="445"/>
      <c r="D258" s="494"/>
      <c r="E258" s="511"/>
      <c r="F258" s="516"/>
      <c r="G258" s="517"/>
      <c r="H258" s="544"/>
      <c r="I258" s="517"/>
      <c r="J258" s="460"/>
    </row>
    <row r="259" spans="1:10" ht="17.25" customHeight="1" x14ac:dyDescent="0.25">
      <c r="A259" s="459" t="s">
        <v>1160</v>
      </c>
      <c r="B259" s="502" t="s">
        <v>1161</v>
      </c>
      <c r="C259" s="445"/>
      <c r="D259" s="494"/>
      <c r="E259" s="511"/>
      <c r="F259" s="516"/>
      <c r="G259" s="517"/>
      <c r="H259" s="544"/>
      <c r="I259" s="517"/>
      <c r="J259" s="460"/>
    </row>
    <row r="260" spans="1:10" x14ac:dyDescent="0.25">
      <c r="A260" s="459"/>
      <c r="B260" s="422" t="s">
        <v>1162</v>
      </c>
      <c r="C260" s="445" t="s">
        <v>913</v>
      </c>
      <c r="D260" s="443" t="s">
        <v>42</v>
      </c>
      <c r="E260" s="511">
        <v>14.53</v>
      </c>
      <c r="F260" s="516">
        <v>6.38</v>
      </c>
      <c r="G260" s="446">
        <f t="shared" ref="G260:G266" si="8">E260*F260</f>
        <v>92.7</v>
      </c>
      <c r="H260" s="444">
        <f>G260*3.322</f>
        <v>307.95</v>
      </c>
      <c r="I260" s="446">
        <f t="shared" ref="I260:I266" si="9">ROUND(H260*1.25,2)</f>
        <v>384.94</v>
      </c>
      <c r="J260" s="446"/>
    </row>
    <row r="261" spans="1:10" x14ac:dyDescent="0.25">
      <c r="A261" s="459"/>
      <c r="B261" s="501" t="s">
        <v>1163</v>
      </c>
      <c r="C261" s="445" t="s">
        <v>45</v>
      </c>
      <c r="D261" s="443" t="s">
        <v>42</v>
      </c>
      <c r="E261" s="511">
        <v>14.53</v>
      </c>
      <c r="F261" s="516">
        <v>9.6</v>
      </c>
      <c r="G261" s="446">
        <f t="shared" si="8"/>
        <v>139.49</v>
      </c>
      <c r="H261" s="444">
        <f t="shared" ref="H261:H266" si="10">G261*3.322</f>
        <v>463.39</v>
      </c>
      <c r="I261" s="446">
        <f t="shared" si="9"/>
        <v>579.24</v>
      </c>
      <c r="J261" s="446"/>
    </row>
    <row r="262" spans="1:10" x14ac:dyDescent="0.25">
      <c r="A262" s="459"/>
      <c r="B262" s="501" t="s">
        <v>1164</v>
      </c>
      <c r="C262" s="445" t="s">
        <v>45</v>
      </c>
      <c r="D262" s="443" t="s">
        <v>42</v>
      </c>
      <c r="E262" s="511">
        <v>14.53</v>
      </c>
      <c r="F262" s="551">
        <v>12.8</v>
      </c>
      <c r="G262" s="446">
        <f t="shared" si="8"/>
        <v>185.98</v>
      </c>
      <c r="H262" s="444">
        <f t="shared" si="10"/>
        <v>617.83000000000004</v>
      </c>
      <c r="I262" s="446">
        <f t="shared" si="9"/>
        <v>772.29</v>
      </c>
      <c r="J262" s="446"/>
    </row>
    <row r="263" spans="1:10" x14ac:dyDescent="0.25">
      <c r="A263" s="459"/>
      <c r="B263" s="501" t="s">
        <v>1165</v>
      </c>
      <c r="C263" s="445" t="s">
        <v>45</v>
      </c>
      <c r="D263" s="443" t="s">
        <v>42</v>
      </c>
      <c r="E263" s="511">
        <v>14.53</v>
      </c>
      <c r="F263" s="551">
        <v>16.100000000000001</v>
      </c>
      <c r="G263" s="446">
        <f t="shared" si="8"/>
        <v>233.93</v>
      </c>
      <c r="H263" s="444">
        <f t="shared" si="10"/>
        <v>777.12</v>
      </c>
      <c r="I263" s="446">
        <f t="shared" si="9"/>
        <v>971.4</v>
      </c>
      <c r="J263" s="446"/>
    </row>
    <row r="264" spans="1:10" x14ac:dyDescent="0.25">
      <c r="A264" s="459"/>
      <c r="B264" s="490" t="s">
        <v>1166</v>
      </c>
      <c r="C264" s="445" t="s">
        <v>45</v>
      </c>
      <c r="D264" s="443" t="s">
        <v>42</v>
      </c>
      <c r="E264" s="511">
        <v>14.53</v>
      </c>
      <c r="F264" s="516">
        <v>19.399999999999999</v>
      </c>
      <c r="G264" s="446">
        <f t="shared" si="8"/>
        <v>281.88</v>
      </c>
      <c r="H264" s="444">
        <f t="shared" si="10"/>
        <v>936.41</v>
      </c>
      <c r="I264" s="446">
        <f t="shared" si="9"/>
        <v>1170.51</v>
      </c>
      <c r="J264" s="446"/>
    </row>
    <row r="265" spans="1:10" x14ac:dyDescent="0.25">
      <c r="A265" s="459"/>
      <c r="B265" s="490" t="s">
        <v>1167</v>
      </c>
      <c r="C265" s="445" t="s">
        <v>45</v>
      </c>
      <c r="D265" s="443" t="s">
        <v>42</v>
      </c>
      <c r="E265" s="511">
        <v>14.53</v>
      </c>
      <c r="F265" s="516">
        <v>22.75</v>
      </c>
      <c r="G265" s="446">
        <f t="shared" si="8"/>
        <v>330.56</v>
      </c>
      <c r="H265" s="444">
        <f t="shared" si="10"/>
        <v>1098.1199999999999</v>
      </c>
      <c r="I265" s="446">
        <f t="shared" si="9"/>
        <v>1372.65</v>
      </c>
      <c r="J265" s="446"/>
    </row>
    <row r="266" spans="1:10" x14ac:dyDescent="0.25">
      <c r="A266" s="459"/>
      <c r="B266" s="490" t="s">
        <v>1168</v>
      </c>
      <c r="C266" s="445" t="s">
        <v>45</v>
      </c>
      <c r="D266" s="443" t="s">
        <v>42</v>
      </c>
      <c r="E266" s="511">
        <v>14.53</v>
      </c>
      <c r="F266" s="516">
        <v>26.1</v>
      </c>
      <c r="G266" s="446">
        <f t="shared" si="8"/>
        <v>379.23</v>
      </c>
      <c r="H266" s="444">
        <f t="shared" si="10"/>
        <v>1259.8</v>
      </c>
      <c r="I266" s="446">
        <f t="shared" si="9"/>
        <v>1574.75</v>
      </c>
      <c r="J266" s="446"/>
    </row>
    <row r="267" spans="1:10" x14ac:dyDescent="0.25">
      <c r="A267" s="459"/>
      <c r="B267" s="422" t="s">
        <v>1169</v>
      </c>
      <c r="C267" s="445"/>
      <c r="D267" s="494"/>
      <c r="E267" s="511"/>
      <c r="F267" s="516"/>
      <c r="G267" s="517"/>
      <c r="H267" s="518"/>
      <c r="I267" s="517"/>
      <c r="J267" s="460"/>
    </row>
    <row r="268" spans="1:10" x14ac:dyDescent="0.25">
      <c r="A268" s="459"/>
      <c r="B268" s="422" t="s">
        <v>1170</v>
      </c>
      <c r="C268" s="445"/>
      <c r="D268" s="494"/>
      <c r="E268" s="511"/>
      <c r="F268" s="516"/>
      <c r="G268" s="517"/>
      <c r="H268" s="518"/>
      <c r="I268" s="517"/>
      <c r="J268" s="460"/>
    </row>
    <row r="269" spans="1:10" x14ac:dyDescent="0.25">
      <c r="A269" s="459"/>
      <c r="C269" s="445"/>
      <c r="D269" s="494"/>
      <c r="E269" s="511"/>
      <c r="F269" s="516"/>
      <c r="G269" s="517"/>
      <c r="H269" s="518"/>
      <c r="I269" s="517"/>
      <c r="J269" s="460"/>
    </row>
    <row r="270" spans="1:10" x14ac:dyDescent="0.25">
      <c r="A270" s="459" t="s">
        <v>1171</v>
      </c>
      <c r="B270" s="422" t="s">
        <v>1172</v>
      </c>
      <c r="C270" s="445"/>
      <c r="D270" s="494"/>
      <c r="E270" s="511"/>
      <c r="F270" s="516"/>
      <c r="G270" s="517"/>
      <c r="H270" s="518"/>
      <c r="I270" s="517"/>
      <c r="J270" s="460"/>
    </row>
    <row r="271" spans="1:10" x14ac:dyDescent="0.25">
      <c r="A271" s="459"/>
      <c r="B271" s="422" t="s">
        <v>914</v>
      </c>
      <c r="C271" s="445" t="s">
        <v>913</v>
      </c>
      <c r="D271" s="443" t="s">
        <v>41</v>
      </c>
      <c r="E271" s="511">
        <v>12.92</v>
      </c>
      <c r="F271" s="516">
        <v>6.38</v>
      </c>
      <c r="G271" s="446">
        <f>E271*F271</f>
        <v>82.43</v>
      </c>
      <c r="H271" s="444">
        <f>G271*3.322</f>
        <v>273.83</v>
      </c>
      <c r="I271" s="446">
        <f>ROUND(H271*1.25,2)</f>
        <v>342.29</v>
      </c>
      <c r="J271" s="446">
        <f>ROUND(H271*1.298,1)</f>
        <v>355.4</v>
      </c>
    </row>
    <row r="272" spans="1:10" x14ac:dyDescent="0.25">
      <c r="A272" s="459"/>
      <c r="B272" s="501" t="s">
        <v>1173</v>
      </c>
      <c r="C272" s="445" t="s">
        <v>45</v>
      </c>
      <c r="D272" s="443" t="s">
        <v>41</v>
      </c>
      <c r="E272" s="511">
        <v>12.92</v>
      </c>
      <c r="F272" s="516">
        <v>9.6</v>
      </c>
      <c r="G272" s="446">
        <f>E272*F272</f>
        <v>124.03</v>
      </c>
      <c r="H272" s="444">
        <f>G272*3.322</f>
        <v>412.03</v>
      </c>
      <c r="I272" s="446">
        <f>ROUND(H272*1.25,2)</f>
        <v>515.04</v>
      </c>
      <c r="J272" s="446">
        <f>ROUND(H272*1.298,1)</f>
        <v>534.79999999999995</v>
      </c>
    </row>
    <row r="273" spans="1:10" x14ac:dyDescent="0.25">
      <c r="A273" s="459"/>
      <c r="B273" s="501" t="s">
        <v>1174</v>
      </c>
      <c r="C273" s="445" t="s">
        <v>45</v>
      </c>
      <c r="D273" s="443" t="s">
        <v>41</v>
      </c>
      <c r="E273" s="511">
        <v>12.92</v>
      </c>
      <c r="F273" s="551">
        <v>12.8</v>
      </c>
      <c r="G273" s="446">
        <f>E273*F273</f>
        <v>165.38</v>
      </c>
      <c r="H273" s="444">
        <f>G273*3.322</f>
        <v>549.39</v>
      </c>
      <c r="I273" s="446">
        <f>ROUND(H273*1.25,2)</f>
        <v>686.74</v>
      </c>
      <c r="J273" s="446"/>
    </row>
    <row r="274" spans="1:10" x14ac:dyDescent="0.25">
      <c r="A274" s="459"/>
      <c r="B274" s="422" t="s">
        <v>1175</v>
      </c>
      <c r="C274" s="445"/>
      <c r="D274" s="494"/>
      <c r="E274" s="511"/>
      <c r="F274" s="516"/>
      <c r="G274" s="517"/>
      <c r="H274" s="518"/>
      <c r="I274" s="517"/>
      <c r="J274" s="460"/>
    </row>
    <row r="275" spans="1:10" x14ac:dyDescent="0.25">
      <c r="A275" s="459" t="s">
        <v>1176</v>
      </c>
      <c r="B275" s="502" t="s">
        <v>1177</v>
      </c>
      <c r="C275" s="445"/>
      <c r="D275" s="494"/>
      <c r="E275" s="511"/>
      <c r="F275" s="516"/>
      <c r="G275" s="517"/>
      <c r="H275" s="544"/>
      <c r="I275" s="517"/>
      <c r="J275" s="460"/>
    </row>
    <row r="276" spans="1:10" x14ac:dyDescent="0.25">
      <c r="A276" s="459"/>
      <c r="B276" s="422" t="s">
        <v>1178</v>
      </c>
      <c r="C276" s="445" t="s">
        <v>412</v>
      </c>
      <c r="D276" s="443" t="s">
        <v>42</v>
      </c>
      <c r="E276" s="511">
        <v>14.53</v>
      </c>
      <c r="F276" s="516">
        <v>1.6</v>
      </c>
      <c r="G276" s="446">
        <f>E276*F276</f>
        <v>23.25</v>
      </c>
      <c r="H276" s="444">
        <f>G276*3.322</f>
        <v>77.239999999999995</v>
      </c>
      <c r="I276" s="446">
        <f>ROUND(H276*1.25,2)</f>
        <v>96.55</v>
      </c>
      <c r="J276" s="446"/>
    </row>
    <row r="277" spans="1:10" x14ac:dyDescent="0.25">
      <c r="A277" s="459"/>
      <c r="B277" s="501" t="s">
        <v>1179</v>
      </c>
      <c r="C277" s="445" t="s">
        <v>45</v>
      </c>
      <c r="D277" s="443" t="s">
        <v>42</v>
      </c>
      <c r="E277" s="511">
        <v>14.53</v>
      </c>
      <c r="F277" s="516">
        <v>2.8</v>
      </c>
      <c r="G277" s="446">
        <f>E277*F277</f>
        <v>40.68</v>
      </c>
      <c r="H277" s="444">
        <f>G277*3.322</f>
        <v>135.13999999999999</v>
      </c>
      <c r="I277" s="446">
        <f>ROUND(H277*1.25,2)</f>
        <v>168.93</v>
      </c>
      <c r="J277" s="446"/>
    </row>
    <row r="278" spans="1:10" x14ac:dyDescent="0.25">
      <c r="A278" s="459"/>
      <c r="B278" s="501" t="s">
        <v>1180</v>
      </c>
      <c r="C278" s="445" t="s">
        <v>45</v>
      </c>
      <c r="D278" s="443" t="s">
        <v>42</v>
      </c>
      <c r="E278" s="511">
        <v>14.53</v>
      </c>
      <c r="F278" s="516">
        <v>4</v>
      </c>
      <c r="G278" s="446">
        <f>E278*F278</f>
        <v>58.12</v>
      </c>
      <c r="H278" s="444">
        <f>G278*3.322</f>
        <v>193.07</v>
      </c>
      <c r="I278" s="446">
        <f>ROUND(H278*1.25,2)</f>
        <v>241.34</v>
      </c>
      <c r="J278" s="446"/>
    </row>
    <row r="279" spans="1:10" x14ac:dyDescent="0.25">
      <c r="A279" s="459"/>
      <c r="B279" s="501" t="s">
        <v>1181</v>
      </c>
      <c r="C279" s="445" t="s">
        <v>45</v>
      </c>
      <c r="D279" s="443" t="s">
        <v>42</v>
      </c>
      <c r="E279" s="511">
        <v>14.53</v>
      </c>
      <c r="F279" s="516">
        <v>5.9</v>
      </c>
      <c r="G279" s="446">
        <f>E279*F279</f>
        <v>85.73</v>
      </c>
      <c r="H279" s="444">
        <f>G279*3.322</f>
        <v>284.8</v>
      </c>
      <c r="I279" s="446">
        <f>ROUND(H279*1.25,2)</f>
        <v>356</v>
      </c>
      <c r="J279" s="446"/>
    </row>
    <row r="280" spans="1:10" x14ac:dyDescent="0.25">
      <c r="A280" s="459"/>
      <c r="B280" s="490" t="s">
        <v>1182</v>
      </c>
      <c r="C280" s="445" t="s">
        <v>45</v>
      </c>
      <c r="D280" s="443" t="s">
        <v>42</v>
      </c>
      <c r="E280" s="511">
        <v>14.53</v>
      </c>
      <c r="F280" s="516">
        <v>8.3000000000000007</v>
      </c>
      <c r="G280" s="446">
        <f>E280*F280</f>
        <v>120.6</v>
      </c>
      <c r="H280" s="444">
        <f>G280*3.322</f>
        <v>400.63</v>
      </c>
      <c r="I280" s="446">
        <f>ROUND(H280*1.25,2)</f>
        <v>500.79</v>
      </c>
      <c r="J280" s="446"/>
    </row>
    <row r="281" spans="1:10" x14ac:dyDescent="0.25">
      <c r="A281" s="459"/>
      <c r="C281" s="445"/>
      <c r="D281" s="494"/>
      <c r="E281" s="511"/>
      <c r="F281" s="516"/>
      <c r="G281" s="517"/>
      <c r="H281" s="518"/>
      <c r="I281" s="517"/>
      <c r="J281" s="460"/>
    </row>
    <row r="282" spans="1:10" x14ac:dyDescent="0.25">
      <c r="A282" s="459" t="s">
        <v>1183</v>
      </c>
      <c r="B282" s="422" t="s">
        <v>1184</v>
      </c>
      <c r="C282" s="445"/>
      <c r="D282" s="494"/>
      <c r="E282" s="511"/>
      <c r="F282" s="516"/>
      <c r="G282" s="517"/>
      <c r="H282" s="518"/>
      <c r="I282" s="517"/>
      <c r="J282" s="460"/>
    </row>
    <row r="283" spans="1:10" x14ac:dyDescent="0.25">
      <c r="A283" s="459"/>
      <c r="B283" s="422" t="s">
        <v>1185</v>
      </c>
      <c r="C283" s="445" t="s">
        <v>412</v>
      </c>
      <c r="D283" s="443" t="s">
        <v>41</v>
      </c>
      <c r="E283" s="511">
        <v>12.92</v>
      </c>
      <c r="F283" s="516">
        <v>1.6</v>
      </c>
      <c r="G283" s="446">
        <f>E283*F283</f>
        <v>20.67</v>
      </c>
      <c r="H283" s="444">
        <f>G283*3.322</f>
        <v>68.67</v>
      </c>
      <c r="I283" s="446">
        <f>ROUND(H283*1.25,2)</f>
        <v>85.84</v>
      </c>
      <c r="J283" s="446">
        <f>ROUND(H283*1.298,1)</f>
        <v>89.1</v>
      </c>
    </row>
    <row r="284" spans="1:10" x14ac:dyDescent="0.25">
      <c r="A284" s="459"/>
      <c r="B284" s="501" t="s">
        <v>1186</v>
      </c>
      <c r="C284" s="445" t="s">
        <v>45</v>
      </c>
      <c r="D284" s="443" t="s">
        <v>41</v>
      </c>
      <c r="E284" s="511">
        <v>12.92</v>
      </c>
      <c r="F284" s="516">
        <v>2.8</v>
      </c>
      <c r="G284" s="446">
        <f>E284*F284</f>
        <v>36.18</v>
      </c>
      <c r="H284" s="444">
        <f>G284*3.322</f>
        <v>120.19</v>
      </c>
      <c r="I284" s="446">
        <f>ROUND(H284*1.25,2)</f>
        <v>150.24</v>
      </c>
      <c r="J284" s="446">
        <f>ROUND(H284*1.298,1)</f>
        <v>156</v>
      </c>
    </row>
    <row r="285" spans="1:10" x14ac:dyDescent="0.25">
      <c r="A285" s="459"/>
      <c r="B285" s="501" t="s">
        <v>1187</v>
      </c>
      <c r="C285" s="445" t="s">
        <v>45</v>
      </c>
      <c r="D285" s="443" t="s">
        <v>41</v>
      </c>
      <c r="E285" s="511">
        <v>12.92</v>
      </c>
      <c r="F285" s="516">
        <v>4</v>
      </c>
      <c r="G285" s="446">
        <f>E285*F285</f>
        <v>51.68</v>
      </c>
      <c r="H285" s="444">
        <f>G285*3.322</f>
        <v>171.68</v>
      </c>
      <c r="I285" s="446">
        <f>ROUND(H285*1.25,2)</f>
        <v>214.6</v>
      </c>
      <c r="J285" s="446"/>
    </row>
    <row r="286" spans="1:10" x14ac:dyDescent="0.25">
      <c r="A286" s="459"/>
      <c r="B286" s="421"/>
      <c r="C286" s="445"/>
      <c r="D286" s="483"/>
      <c r="E286" s="511"/>
      <c r="F286" s="516"/>
      <c r="G286" s="446"/>
      <c r="H286" s="444"/>
      <c r="I286" s="446"/>
      <c r="J286" s="448"/>
    </row>
    <row r="287" spans="1:10" x14ac:dyDescent="0.25">
      <c r="A287" s="459" t="s">
        <v>1188</v>
      </c>
      <c r="B287" s="552" t="s">
        <v>1189</v>
      </c>
      <c r="C287" s="553"/>
      <c r="D287" s="522"/>
      <c r="E287" s="554"/>
      <c r="F287" s="555"/>
      <c r="G287" s="556"/>
      <c r="H287" s="557"/>
      <c r="I287" s="556"/>
      <c r="J287" s="558"/>
    </row>
    <row r="288" spans="1:10" x14ac:dyDescent="0.25">
      <c r="A288" s="559"/>
      <c r="B288" s="495" t="s">
        <v>1190</v>
      </c>
      <c r="C288" s="445" t="s">
        <v>913</v>
      </c>
      <c r="D288" s="560" t="s">
        <v>42</v>
      </c>
      <c r="E288" s="511">
        <v>14.53</v>
      </c>
      <c r="F288" s="516">
        <v>0.85</v>
      </c>
      <c r="G288" s="446">
        <f>E288*F288</f>
        <v>12.35</v>
      </c>
      <c r="H288" s="444">
        <f>G288*3.322</f>
        <v>41.03</v>
      </c>
      <c r="I288" s="446">
        <f>ROUND(H288*1.25,2)</f>
        <v>51.29</v>
      </c>
      <c r="J288" s="446"/>
    </row>
    <row r="289" spans="1:10" x14ac:dyDescent="0.25">
      <c r="A289" s="559"/>
      <c r="B289" s="501" t="s">
        <v>1191</v>
      </c>
      <c r="C289" s="445" t="s">
        <v>45</v>
      </c>
      <c r="D289" s="560" t="s">
        <v>42</v>
      </c>
      <c r="E289" s="511">
        <v>14.53</v>
      </c>
      <c r="F289" s="516">
        <v>1.1000000000000001</v>
      </c>
      <c r="G289" s="446">
        <f>E289*F289</f>
        <v>15.98</v>
      </c>
      <c r="H289" s="444">
        <f>G289*3.322</f>
        <v>53.09</v>
      </c>
      <c r="I289" s="446">
        <f>ROUND(H289*1.25,2)</f>
        <v>66.36</v>
      </c>
      <c r="J289" s="446"/>
    </row>
    <row r="290" spans="1:10" x14ac:dyDescent="0.25">
      <c r="A290" s="559"/>
      <c r="B290" s="490" t="s">
        <v>1192</v>
      </c>
      <c r="C290" s="445" t="s">
        <v>45</v>
      </c>
      <c r="D290" s="560" t="s">
        <v>42</v>
      </c>
      <c r="E290" s="511">
        <v>14.53</v>
      </c>
      <c r="F290" s="516">
        <v>1.35</v>
      </c>
      <c r="G290" s="446">
        <f>E290*F290</f>
        <v>19.62</v>
      </c>
      <c r="H290" s="444">
        <f>G290*3.322</f>
        <v>65.180000000000007</v>
      </c>
      <c r="I290" s="446">
        <f>ROUND(H290*1.25,2)</f>
        <v>81.48</v>
      </c>
      <c r="J290" s="446"/>
    </row>
    <row r="291" spans="1:10" x14ac:dyDescent="0.25">
      <c r="A291" s="559"/>
      <c r="B291" s="495"/>
      <c r="C291" s="553"/>
      <c r="D291" s="522"/>
      <c r="E291" s="511"/>
      <c r="F291" s="516"/>
      <c r="G291" s="517"/>
      <c r="H291" s="544"/>
      <c r="I291" s="517"/>
      <c r="J291" s="442"/>
    </row>
    <row r="292" spans="1:10" x14ac:dyDescent="0.25">
      <c r="A292" s="459" t="s">
        <v>1193</v>
      </c>
      <c r="B292" s="552" t="s">
        <v>1194</v>
      </c>
      <c r="C292" s="553"/>
      <c r="D292" s="522"/>
      <c r="E292" s="511"/>
      <c r="F292" s="516"/>
      <c r="G292" s="517"/>
      <c r="H292" s="544"/>
      <c r="I292" s="517"/>
      <c r="J292" s="442"/>
    </row>
    <row r="293" spans="1:10" x14ac:dyDescent="0.25">
      <c r="A293" s="559"/>
      <c r="B293" s="495" t="s">
        <v>1195</v>
      </c>
      <c r="C293" s="445" t="s">
        <v>913</v>
      </c>
      <c r="D293" s="560" t="s">
        <v>41</v>
      </c>
      <c r="E293" s="511">
        <v>12.92</v>
      </c>
      <c r="F293" s="516">
        <v>0.85</v>
      </c>
      <c r="G293" s="446">
        <f>E293*F293</f>
        <v>10.98</v>
      </c>
      <c r="H293" s="444">
        <f>G293*3.322</f>
        <v>36.479999999999997</v>
      </c>
      <c r="I293" s="446">
        <f>ROUND(H293*1.25,2)</f>
        <v>45.6</v>
      </c>
      <c r="J293" s="446">
        <f>ROUND(H293*1.298,1)</f>
        <v>47.4</v>
      </c>
    </row>
    <row r="294" spans="1:10" x14ac:dyDescent="0.25">
      <c r="A294" s="559"/>
      <c r="B294" s="522" t="s">
        <v>1196</v>
      </c>
      <c r="C294" s="445" t="s">
        <v>45</v>
      </c>
      <c r="D294" s="560" t="s">
        <v>41</v>
      </c>
      <c r="E294" s="511">
        <v>12.92</v>
      </c>
      <c r="F294" s="516">
        <v>1</v>
      </c>
      <c r="G294" s="446">
        <f>E294*F294</f>
        <v>12.92</v>
      </c>
      <c r="H294" s="444">
        <f>G294*3.322</f>
        <v>42.92</v>
      </c>
      <c r="I294" s="446">
        <f>ROUND(H294*1.25,2)</f>
        <v>53.65</v>
      </c>
      <c r="J294" s="446"/>
    </row>
    <row r="295" spans="1:10" x14ac:dyDescent="0.25">
      <c r="A295" s="459"/>
      <c r="C295" s="445"/>
      <c r="D295" s="494"/>
      <c r="E295" s="511"/>
      <c r="F295" s="516"/>
      <c r="G295" s="517"/>
      <c r="H295" s="544"/>
      <c r="I295" s="517"/>
      <c r="J295" s="460"/>
    </row>
    <row r="296" spans="1:10" ht="18" customHeight="1" x14ac:dyDescent="0.25">
      <c r="A296" s="459" t="s">
        <v>1197</v>
      </c>
      <c r="B296" s="422" t="s">
        <v>1198</v>
      </c>
      <c r="C296" s="445"/>
      <c r="D296" s="494"/>
      <c r="E296" s="511"/>
      <c r="F296" s="516"/>
      <c r="G296" s="517"/>
      <c r="H296" s="544"/>
      <c r="I296" s="517"/>
      <c r="J296" s="460"/>
    </row>
    <row r="297" spans="1:10" ht="13.5" customHeight="1" x14ac:dyDescent="0.25">
      <c r="A297" s="459"/>
      <c r="B297" s="422" t="s">
        <v>1185</v>
      </c>
      <c r="C297" s="445" t="s">
        <v>913</v>
      </c>
      <c r="D297" s="443" t="s">
        <v>42</v>
      </c>
      <c r="E297" s="511">
        <v>14.53</v>
      </c>
      <c r="F297" s="516">
        <v>5.0999999999999996</v>
      </c>
      <c r="G297" s="446">
        <f>E297*F297</f>
        <v>74.099999999999994</v>
      </c>
      <c r="H297" s="444">
        <f>G297*3.322</f>
        <v>246.16</v>
      </c>
      <c r="I297" s="446">
        <f>ROUND(H297*1.25,2)</f>
        <v>307.7</v>
      </c>
      <c r="J297" s="446"/>
    </row>
    <row r="298" spans="1:10" ht="13.5" customHeight="1" x14ac:dyDescent="0.25">
      <c r="A298" s="459"/>
      <c r="B298" s="421" t="s">
        <v>1103</v>
      </c>
      <c r="C298" s="445" t="s">
        <v>45</v>
      </c>
      <c r="D298" s="443" t="s">
        <v>42</v>
      </c>
      <c r="E298" s="511">
        <v>14.53</v>
      </c>
      <c r="F298" s="516">
        <v>5.9</v>
      </c>
      <c r="G298" s="446">
        <f>E298*F298</f>
        <v>85.73</v>
      </c>
      <c r="H298" s="444">
        <f>G298*3.322</f>
        <v>284.8</v>
      </c>
      <c r="I298" s="446">
        <f>ROUND(H298*1.25,2)</f>
        <v>356</v>
      </c>
      <c r="J298" s="446"/>
    </row>
    <row r="299" spans="1:10" ht="13.5" customHeight="1" x14ac:dyDescent="0.25">
      <c r="A299" s="459"/>
      <c r="B299" s="421" t="s">
        <v>1104</v>
      </c>
      <c r="C299" s="445" t="s">
        <v>45</v>
      </c>
      <c r="D299" s="443" t="s">
        <v>42</v>
      </c>
      <c r="E299" s="511">
        <v>14.53</v>
      </c>
      <c r="F299" s="516">
        <v>6.7</v>
      </c>
      <c r="G299" s="446">
        <f>E299*F299</f>
        <v>97.35</v>
      </c>
      <c r="H299" s="444">
        <f>G299*3.322</f>
        <v>323.39999999999998</v>
      </c>
      <c r="I299" s="446">
        <f>ROUND(H299*1.25,2)</f>
        <v>404.25</v>
      </c>
      <c r="J299" s="446"/>
    </row>
    <row r="300" spans="1:10" ht="13.5" customHeight="1" x14ac:dyDescent="0.25">
      <c r="A300" s="459"/>
      <c r="B300" s="421" t="s">
        <v>1137</v>
      </c>
      <c r="C300" s="445" t="s">
        <v>45</v>
      </c>
      <c r="D300" s="443" t="s">
        <v>42</v>
      </c>
      <c r="E300" s="511">
        <v>14.53</v>
      </c>
      <c r="F300" s="516">
        <v>7.9</v>
      </c>
      <c r="G300" s="446">
        <f>E300*F300</f>
        <v>114.79</v>
      </c>
      <c r="H300" s="444">
        <f>G300*3.322</f>
        <v>381.33</v>
      </c>
      <c r="I300" s="446">
        <f>ROUND(H300*1.25,2)</f>
        <v>476.66</v>
      </c>
      <c r="J300" s="446"/>
    </row>
    <row r="301" spans="1:10" ht="13.5" customHeight="1" x14ac:dyDescent="0.25">
      <c r="A301" s="459"/>
      <c r="B301" s="422" t="s">
        <v>1199</v>
      </c>
      <c r="C301" s="445" t="s">
        <v>45</v>
      </c>
      <c r="D301" s="443" t="s">
        <v>42</v>
      </c>
      <c r="E301" s="511">
        <v>14.53</v>
      </c>
      <c r="F301" s="516">
        <v>9.5</v>
      </c>
      <c r="G301" s="446">
        <f>E301*F301</f>
        <v>138.04</v>
      </c>
      <c r="H301" s="444">
        <f>G301*3.322</f>
        <v>458.57</v>
      </c>
      <c r="I301" s="446">
        <f>ROUND(H301*1.25,2)</f>
        <v>573.21</v>
      </c>
      <c r="J301" s="446"/>
    </row>
    <row r="302" spans="1:10" ht="13.5" customHeight="1" x14ac:dyDescent="0.25">
      <c r="A302" s="459"/>
      <c r="B302" s="422" t="s">
        <v>1200</v>
      </c>
      <c r="C302" s="445"/>
      <c r="D302" s="494"/>
      <c r="E302" s="511"/>
      <c r="F302" s="516"/>
      <c r="G302" s="517"/>
      <c r="H302" s="518"/>
      <c r="I302" s="517"/>
      <c r="J302" s="460"/>
    </row>
    <row r="303" spans="1:10" ht="13.5" customHeight="1" x14ac:dyDescent="0.25">
      <c r="A303" s="459"/>
      <c r="B303" s="521" t="s">
        <v>1141</v>
      </c>
      <c r="C303" s="445"/>
      <c r="D303" s="494"/>
      <c r="E303" s="511"/>
      <c r="F303" s="516"/>
      <c r="G303" s="517"/>
      <c r="H303" s="518"/>
      <c r="I303" s="517"/>
      <c r="J303" s="460"/>
    </row>
    <row r="304" spans="1:10" ht="13.5" customHeight="1" x14ac:dyDescent="0.25">
      <c r="A304" s="459"/>
      <c r="B304" s="422" t="s">
        <v>1201</v>
      </c>
      <c r="C304" s="445"/>
      <c r="D304" s="494"/>
      <c r="E304" s="511"/>
      <c r="F304" s="516"/>
      <c r="G304" s="517"/>
      <c r="H304" s="518"/>
      <c r="I304" s="517"/>
      <c r="J304" s="460"/>
    </row>
    <row r="305" spans="1:10" ht="13.5" customHeight="1" x14ac:dyDescent="0.25">
      <c r="A305" s="459"/>
      <c r="B305" s="422" t="s">
        <v>1202</v>
      </c>
      <c r="C305" s="445"/>
      <c r="D305" s="494"/>
      <c r="E305" s="511"/>
      <c r="F305" s="516"/>
      <c r="G305" s="517"/>
      <c r="H305" s="518"/>
      <c r="I305" s="517"/>
      <c r="J305" s="460"/>
    </row>
    <row r="306" spans="1:10" ht="13.5" customHeight="1" x14ac:dyDescent="0.25">
      <c r="A306" s="459"/>
      <c r="C306" s="445"/>
      <c r="D306" s="494"/>
      <c r="E306" s="511"/>
      <c r="F306" s="516"/>
      <c r="G306" s="517"/>
      <c r="H306" s="518"/>
      <c r="I306" s="517"/>
      <c r="J306" s="460"/>
    </row>
    <row r="307" spans="1:10" ht="13.5" customHeight="1" x14ac:dyDescent="0.25">
      <c r="A307" s="459" t="s">
        <v>1203</v>
      </c>
      <c r="B307" s="422" t="s">
        <v>1204</v>
      </c>
      <c r="C307" s="445"/>
      <c r="D307" s="494"/>
      <c r="E307" s="511"/>
      <c r="F307" s="516"/>
      <c r="G307" s="517"/>
      <c r="H307" s="518"/>
      <c r="I307" s="517"/>
      <c r="J307" s="460"/>
    </row>
    <row r="308" spans="1:10" ht="13.5" customHeight="1" x14ac:dyDescent="0.25">
      <c r="A308" s="459"/>
      <c r="B308" s="490" t="s">
        <v>914</v>
      </c>
      <c r="C308" s="445" t="s">
        <v>913</v>
      </c>
      <c r="D308" s="443" t="s">
        <v>41</v>
      </c>
      <c r="E308" s="511">
        <v>12.92</v>
      </c>
      <c r="F308" s="516">
        <v>5.0999999999999996</v>
      </c>
      <c r="G308" s="446">
        <f>E308*F308</f>
        <v>65.89</v>
      </c>
      <c r="H308" s="444">
        <f>G308*3.322</f>
        <v>218.89</v>
      </c>
      <c r="I308" s="446">
        <f>ROUND(H308*1.25,2)</f>
        <v>273.61</v>
      </c>
      <c r="J308" s="446">
        <f>ROUND(H308*1.298,1)</f>
        <v>284.10000000000002</v>
      </c>
    </row>
    <row r="309" spans="1:10" ht="13.5" customHeight="1" x14ac:dyDescent="0.25">
      <c r="A309" s="459"/>
      <c r="B309" s="501" t="s">
        <v>1205</v>
      </c>
      <c r="C309" s="445" t="s">
        <v>45</v>
      </c>
      <c r="D309" s="443" t="s">
        <v>41</v>
      </c>
      <c r="E309" s="511">
        <v>12.92</v>
      </c>
      <c r="F309" s="516">
        <v>5.9</v>
      </c>
      <c r="G309" s="446">
        <f>E309*F309</f>
        <v>76.23</v>
      </c>
      <c r="H309" s="444">
        <f>G309*3.322</f>
        <v>253.24</v>
      </c>
      <c r="I309" s="446">
        <f>ROUND(H309*1.25,2)</f>
        <v>316.55</v>
      </c>
      <c r="J309" s="446">
        <f>ROUND(H309*1.298,1)</f>
        <v>328.7</v>
      </c>
    </row>
    <row r="310" spans="1:10" ht="13.5" customHeight="1" x14ac:dyDescent="0.25">
      <c r="A310" s="459"/>
      <c r="B310" s="501" t="s">
        <v>1206</v>
      </c>
      <c r="C310" s="445" t="s">
        <v>45</v>
      </c>
      <c r="D310" s="443" t="s">
        <v>41</v>
      </c>
      <c r="E310" s="511">
        <v>12.92</v>
      </c>
      <c r="F310" s="516">
        <v>6.7</v>
      </c>
      <c r="G310" s="446">
        <f>E310*F310</f>
        <v>86.56</v>
      </c>
      <c r="H310" s="444">
        <f>G310*3.322</f>
        <v>287.55</v>
      </c>
      <c r="I310" s="446">
        <f>ROUND(H310*1.25,2)</f>
        <v>359.44</v>
      </c>
      <c r="J310" s="446"/>
    </row>
    <row r="311" spans="1:10" ht="13.5" customHeight="1" x14ac:dyDescent="0.25">
      <c r="A311" s="559"/>
      <c r="B311" s="495"/>
      <c r="C311" s="553"/>
      <c r="D311" s="522"/>
      <c r="E311" s="554"/>
      <c r="F311" s="555"/>
      <c r="G311" s="556"/>
      <c r="H311" s="561"/>
      <c r="I311" s="556"/>
      <c r="J311" s="558"/>
    </row>
    <row r="312" spans="1:10" ht="13.5" customHeight="1" x14ac:dyDescent="0.25">
      <c r="A312" s="459" t="s">
        <v>1207</v>
      </c>
      <c r="B312" s="490" t="s">
        <v>1208</v>
      </c>
      <c r="C312" s="445"/>
      <c r="D312" s="494"/>
      <c r="E312" s="511"/>
      <c r="F312" s="516"/>
      <c r="G312" s="517"/>
      <c r="H312" s="544"/>
      <c r="I312" s="517"/>
      <c r="J312" s="460"/>
    </row>
    <row r="313" spans="1:10" ht="13.5" customHeight="1" x14ac:dyDescent="0.25">
      <c r="A313" s="459"/>
      <c r="B313" s="422" t="s">
        <v>1209</v>
      </c>
      <c r="C313" s="445" t="s">
        <v>1210</v>
      </c>
      <c r="D313" s="443" t="s">
        <v>42</v>
      </c>
      <c r="E313" s="511">
        <v>14.53</v>
      </c>
      <c r="F313" s="516">
        <v>1.44</v>
      </c>
      <c r="G313" s="446">
        <f>E313*F313</f>
        <v>20.92</v>
      </c>
      <c r="H313" s="444">
        <f>G313*3.322</f>
        <v>69.5</v>
      </c>
      <c r="I313" s="446">
        <f>ROUND(H313*1.25,2)</f>
        <v>86.88</v>
      </c>
      <c r="J313" s="446">
        <f>ROUND(H313*1.298,1)</f>
        <v>90.2</v>
      </c>
    </row>
    <row r="314" spans="1:10" ht="13.5" customHeight="1" x14ac:dyDescent="0.25">
      <c r="A314" s="459"/>
      <c r="B314" s="490" t="s">
        <v>1211</v>
      </c>
      <c r="C314" s="445" t="s">
        <v>45</v>
      </c>
      <c r="D314" s="443" t="s">
        <v>42</v>
      </c>
      <c r="E314" s="511">
        <v>14.53</v>
      </c>
      <c r="F314" s="516">
        <v>2.88</v>
      </c>
      <c r="G314" s="446">
        <f>E314*F314</f>
        <v>41.85</v>
      </c>
      <c r="H314" s="444">
        <f>G314*3.322</f>
        <v>139.03</v>
      </c>
      <c r="I314" s="446">
        <f>ROUND(H314*1.25,2)</f>
        <v>173.79</v>
      </c>
      <c r="J314" s="446">
        <f>ROUND(H314*1.298,1)</f>
        <v>180.5</v>
      </c>
    </row>
    <row r="315" spans="1:10" ht="13.5" customHeight="1" x14ac:dyDescent="0.25">
      <c r="A315" s="459"/>
      <c r="B315" s="490" t="s">
        <v>1212</v>
      </c>
      <c r="C315" s="445" t="s">
        <v>45</v>
      </c>
      <c r="D315" s="443" t="s">
        <v>42</v>
      </c>
      <c r="E315" s="511">
        <v>14.53</v>
      </c>
      <c r="F315" s="516">
        <v>4.32</v>
      </c>
      <c r="G315" s="446">
        <f>E315*F315</f>
        <v>62.77</v>
      </c>
      <c r="H315" s="444">
        <f>G315*3.322</f>
        <v>208.52</v>
      </c>
      <c r="I315" s="446">
        <f>ROUND(H315*1.25,2)</f>
        <v>260.64999999999998</v>
      </c>
      <c r="J315" s="446"/>
    </row>
    <row r="316" spans="1:10" ht="13.5" customHeight="1" x14ac:dyDescent="0.25">
      <c r="A316" s="459"/>
      <c r="B316" s="490" t="s">
        <v>1199</v>
      </c>
      <c r="C316" s="445" t="s">
        <v>45</v>
      </c>
      <c r="D316" s="443" t="s">
        <v>42</v>
      </c>
      <c r="E316" s="511">
        <v>14.53</v>
      </c>
      <c r="F316" s="516">
        <v>8.64</v>
      </c>
      <c r="G316" s="446">
        <f>E316*F316</f>
        <v>125.54</v>
      </c>
      <c r="H316" s="444">
        <f>G316*3.322</f>
        <v>417.04</v>
      </c>
      <c r="I316" s="446">
        <f>ROUND(H316*1.25,2)</f>
        <v>521.29999999999995</v>
      </c>
      <c r="J316" s="446"/>
    </row>
    <row r="317" spans="1:10" ht="20.25" customHeight="1" x14ac:dyDescent="0.25">
      <c r="A317" s="459" t="s">
        <v>1213</v>
      </c>
      <c r="B317" s="422" t="s">
        <v>1214</v>
      </c>
      <c r="C317" s="445"/>
      <c r="D317" s="494"/>
      <c r="E317" s="511"/>
      <c r="F317" s="516"/>
      <c r="G317" s="517"/>
      <c r="H317" s="544"/>
      <c r="I317" s="517"/>
      <c r="J317" s="460"/>
    </row>
    <row r="318" spans="1:10" x14ac:dyDescent="0.25">
      <c r="A318" s="459"/>
      <c r="B318" s="490" t="s">
        <v>1215</v>
      </c>
      <c r="C318" s="445" t="s">
        <v>913</v>
      </c>
      <c r="D318" s="443" t="s">
        <v>290</v>
      </c>
      <c r="E318" s="511">
        <v>11.84</v>
      </c>
      <c r="F318" s="516">
        <v>0.44</v>
      </c>
      <c r="G318" s="446">
        <f>E318*F318</f>
        <v>5.21</v>
      </c>
      <c r="H318" s="444">
        <f>G318*3.322</f>
        <v>17.309999999999999</v>
      </c>
      <c r="I318" s="446">
        <f>ROUND(H318*1.25,2)</f>
        <v>21.64</v>
      </c>
      <c r="J318" s="446">
        <f>ROUND(H318*1.298,1)</f>
        <v>22.5</v>
      </c>
    </row>
    <row r="319" spans="1:10" x14ac:dyDescent="0.25">
      <c r="A319" s="459"/>
      <c r="B319" s="501" t="s">
        <v>1216</v>
      </c>
      <c r="C319" s="445" t="s">
        <v>45</v>
      </c>
      <c r="D319" s="443" t="s">
        <v>290</v>
      </c>
      <c r="E319" s="511">
        <v>11.84</v>
      </c>
      <c r="F319" s="516">
        <v>0.6</v>
      </c>
      <c r="G319" s="446">
        <f>E319*F319</f>
        <v>7.1</v>
      </c>
      <c r="H319" s="444">
        <f>G319*3.322</f>
        <v>23.59</v>
      </c>
      <c r="I319" s="446">
        <f>ROUND(H319*1.25,2)</f>
        <v>29.49</v>
      </c>
      <c r="J319" s="446"/>
    </row>
    <row r="320" spans="1:10" x14ac:dyDescent="0.25">
      <c r="A320" s="459"/>
      <c r="B320" s="490" t="s">
        <v>1217</v>
      </c>
      <c r="C320" s="445" t="s">
        <v>45</v>
      </c>
      <c r="D320" s="443" t="s">
        <v>290</v>
      </c>
      <c r="E320" s="511">
        <v>11.84</v>
      </c>
      <c r="F320" s="516">
        <v>0.82</v>
      </c>
      <c r="G320" s="446">
        <f>E320*F320</f>
        <v>9.7100000000000009</v>
      </c>
      <c r="H320" s="444">
        <f>G320*3.322</f>
        <v>32.26</v>
      </c>
      <c r="I320" s="446">
        <f>ROUND(H320*1.25,2)</f>
        <v>40.33</v>
      </c>
      <c r="J320" s="446"/>
    </row>
    <row r="321" spans="1:10" x14ac:dyDescent="0.25">
      <c r="A321" s="459"/>
      <c r="C321" s="445"/>
      <c r="D321" s="494"/>
      <c r="E321" s="511"/>
      <c r="F321" s="516"/>
      <c r="G321" s="446"/>
      <c r="H321" s="444"/>
      <c r="I321" s="446"/>
      <c r="J321" s="448"/>
    </row>
    <row r="322" spans="1:10" x14ac:dyDescent="0.25">
      <c r="A322" s="459" t="s">
        <v>1218</v>
      </c>
      <c r="B322" s="422" t="s">
        <v>1219</v>
      </c>
      <c r="C322" s="445"/>
      <c r="D322" s="494"/>
      <c r="E322" s="511"/>
      <c r="F322" s="516"/>
      <c r="G322" s="446"/>
      <c r="H322" s="444"/>
      <c r="I322" s="446"/>
      <c r="J322" s="448"/>
    </row>
    <row r="323" spans="1:10" x14ac:dyDescent="0.25">
      <c r="A323" s="459"/>
      <c r="B323" s="490" t="s">
        <v>1220</v>
      </c>
      <c r="C323" s="445"/>
      <c r="D323" s="494"/>
      <c r="E323" s="511"/>
      <c r="F323" s="516"/>
      <c r="G323" s="446"/>
      <c r="H323" s="444"/>
      <c r="I323" s="446"/>
      <c r="J323" s="448"/>
    </row>
    <row r="324" spans="1:10" x14ac:dyDescent="0.25">
      <c r="A324" s="459"/>
      <c r="B324" s="490" t="s">
        <v>1221</v>
      </c>
      <c r="C324" s="445" t="s">
        <v>913</v>
      </c>
      <c r="D324" s="443" t="s">
        <v>290</v>
      </c>
      <c r="E324" s="511">
        <v>11.84</v>
      </c>
      <c r="F324" s="516">
        <v>0.88</v>
      </c>
      <c r="G324" s="446">
        <f>E324*F324</f>
        <v>10.42</v>
      </c>
      <c r="H324" s="444">
        <f>G324*3.322</f>
        <v>34.619999999999997</v>
      </c>
      <c r="I324" s="446">
        <f>ROUND(H324*1.25,2)</f>
        <v>43.28</v>
      </c>
      <c r="J324" s="446">
        <f>ROUND(H324*1.298,1)</f>
        <v>44.9</v>
      </c>
    </row>
    <row r="325" spans="1:10" x14ac:dyDescent="0.25">
      <c r="A325" s="459"/>
      <c r="B325" s="421" t="s">
        <v>1222</v>
      </c>
      <c r="C325" s="445" t="s">
        <v>45</v>
      </c>
      <c r="D325" s="443" t="s">
        <v>290</v>
      </c>
      <c r="E325" s="511">
        <v>11.84</v>
      </c>
      <c r="F325" s="516">
        <v>1.2</v>
      </c>
      <c r="G325" s="446">
        <f>E325*F325</f>
        <v>14.21</v>
      </c>
      <c r="H325" s="444">
        <f>G325*3.322</f>
        <v>47.21</v>
      </c>
      <c r="I325" s="446">
        <f>ROUND(H325*1.25,2)</f>
        <v>59.01</v>
      </c>
      <c r="J325" s="448"/>
    </row>
    <row r="326" spans="1:10" x14ac:dyDescent="0.25">
      <c r="A326" s="459"/>
      <c r="B326" s="422" t="s">
        <v>1223</v>
      </c>
      <c r="C326" s="445" t="s">
        <v>45</v>
      </c>
      <c r="D326" s="443" t="s">
        <v>290</v>
      </c>
      <c r="E326" s="511">
        <v>11.84</v>
      </c>
      <c r="F326" s="516">
        <v>1.64</v>
      </c>
      <c r="G326" s="446">
        <f>E326*F326</f>
        <v>19.420000000000002</v>
      </c>
      <c r="H326" s="444">
        <f>G326*3.322</f>
        <v>64.510000000000005</v>
      </c>
      <c r="I326" s="446">
        <f>ROUND(H326*1.25,2)</f>
        <v>80.64</v>
      </c>
      <c r="J326" s="448"/>
    </row>
    <row r="327" spans="1:10" x14ac:dyDescent="0.25">
      <c r="A327" s="459"/>
      <c r="C327" s="445"/>
      <c r="D327" s="494"/>
      <c r="E327" s="511"/>
      <c r="F327" s="516"/>
      <c r="G327" s="446"/>
      <c r="H327" s="444"/>
      <c r="I327" s="446"/>
      <c r="J327" s="448"/>
    </row>
    <row r="328" spans="1:10" x14ac:dyDescent="0.25">
      <c r="A328" s="459" t="s">
        <v>1224</v>
      </c>
      <c r="B328" s="422" t="s">
        <v>1225</v>
      </c>
      <c r="C328" s="445"/>
      <c r="D328" s="494"/>
      <c r="E328" s="511"/>
      <c r="F328" s="516"/>
      <c r="G328" s="446"/>
      <c r="H328" s="444"/>
      <c r="I328" s="446"/>
      <c r="J328" s="448"/>
    </row>
    <row r="329" spans="1:10" x14ac:dyDescent="0.25">
      <c r="A329" s="459"/>
      <c r="B329" s="490" t="s">
        <v>1226</v>
      </c>
      <c r="C329" s="445" t="s">
        <v>913</v>
      </c>
      <c r="D329" s="443" t="s">
        <v>290</v>
      </c>
      <c r="E329" s="511">
        <v>11.84</v>
      </c>
      <c r="F329" s="516">
        <v>1.1000000000000001</v>
      </c>
      <c r="G329" s="446">
        <f>E329*F329</f>
        <v>13.02</v>
      </c>
      <c r="H329" s="444">
        <f>G329*3.322</f>
        <v>43.25</v>
      </c>
      <c r="I329" s="446">
        <f>ROUND(H329*1.25,2)</f>
        <v>54.06</v>
      </c>
      <c r="J329" s="446">
        <f>ROUND(H329*1.298,1)</f>
        <v>56.1</v>
      </c>
    </row>
    <row r="330" spans="1:10" x14ac:dyDescent="0.25">
      <c r="A330" s="459"/>
      <c r="B330" s="421" t="s">
        <v>1227</v>
      </c>
      <c r="C330" s="445" t="s">
        <v>45</v>
      </c>
      <c r="D330" s="443" t="s">
        <v>290</v>
      </c>
      <c r="E330" s="511">
        <v>11.84</v>
      </c>
      <c r="F330" s="516">
        <v>1.5</v>
      </c>
      <c r="G330" s="446">
        <f>E330*F330</f>
        <v>17.760000000000002</v>
      </c>
      <c r="H330" s="444">
        <f>G330*3.322</f>
        <v>59</v>
      </c>
      <c r="I330" s="446">
        <f>ROUND(H330*1.25,2)</f>
        <v>73.75</v>
      </c>
      <c r="J330" s="448"/>
    </row>
    <row r="331" spans="1:10" x14ac:dyDescent="0.25">
      <c r="A331" s="459"/>
      <c r="B331" s="422" t="s">
        <v>1228</v>
      </c>
      <c r="C331" s="445" t="s">
        <v>45</v>
      </c>
      <c r="D331" s="443" t="s">
        <v>290</v>
      </c>
      <c r="E331" s="511">
        <v>11.84</v>
      </c>
      <c r="F331" s="516">
        <v>2.0499999999999998</v>
      </c>
      <c r="G331" s="446">
        <f>E331*F331</f>
        <v>24.27</v>
      </c>
      <c r="H331" s="444">
        <f>G331*3.322</f>
        <v>80.62</v>
      </c>
      <c r="I331" s="446">
        <f>ROUND(H331*1.25,2)</f>
        <v>100.78</v>
      </c>
      <c r="J331" s="448"/>
    </row>
    <row r="332" spans="1:10" ht="9.75" customHeight="1" x14ac:dyDescent="0.25">
      <c r="A332" s="459"/>
      <c r="C332" s="445"/>
      <c r="D332" s="494"/>
      <c r="E332" s="511"/>
      <c r="F332" s="516"/>
      <c r="G332" s="517"/>
      <c r="H332" s="518"/>
      <c r="I332" s="517"/>
      <c r="J332" s="460"/>
    </row>
    <row r="333" spans="1:10" x14ac:dyDescent="0.25">
      <c r="A333" s="459" t="s">
        <v>1229</v>
      </c>
      <c r="B333" s="422" t="s">
        <v>1230</v>
      </c>
      <c r="C333" s="445"/>
      <c r="D333" s="494"/>
      <c r="E333" s="511"/>
      <c r="F333" s="516"/>
      <c r="G333" s="517"/>
      <c r="H333" s="518"/>
      <c r="I333" s="517"/>
      <c r="J333" s="460"/>
    </row>
    <row r="334" spans="1:10" x14ac:dyDescent="0.25">
      <c r="A334" s="459"/>
      <c r="B334" s="422" t="s">
        <v>1231</v>
      </c>
      <c r="C334" s="445" t="s">
        <v>1148</v>
      </c>
      <c r="D334" s="443" t="s">
        <v>290</v>
      </c>
      <c r="E334" s="511">
        <v>11.84</v>
      </c>
      <c r="F334" s="516">
        <v>0.61</v>
      </c>
      <c r="G334" s="446">
        <f>E334*F334</f>
        <v>7.22</v>
      </c>
      <c r="H334" s="444">
        <f>G334*3.322</f>
        <v>23.98</v>
      </c>
      <c r="I334" s="446">
        <f>ROUND(H334*1.25,2)</f>
        <v>29.98</v>
      </c>
      <c r="J334" s="446">
        <f>ROUND(H334*1.298,1)</f>
        <v>31.1</v>
      </c>
    </row>
    <row r="335" spans="1:10" x14ac:dyDescent="0.25">
      <c r="A335" s="459"/>
      <c r="B335" s="421" t="s">
        <v>1232</v>
      </c>
      <c r="C335" s="445" t="s">
        <v>45</v>
      </c>
      <c r="D335" s="443" t="s">
        <v>290</v>
      </c>
      <c r="E335" s="511">
        <v>11.84</v>
      </c>
      <c r="F335" s="516">
        <v>1.22</v>
      </c>
      <c r="G335" s="446">
        <f>E335*F335</f>
        <v>14.44</v>
      </c>
      <c r="H335" s="444">
        <f>G335*3.322</f>
        <v>47.97</v>
      </c>
      <c r="I335" s="446">
        <f>ROUND(H335*1.25,2)</f>
        <v>59.96</v>
      </c>
      <c r="J335" s="446"/>
    </row>
    <row r="336" spans="1:10" x14ac:dyDescent="0.25">
      <c r="A336" s="459"/>
      <c r="B336" s="422" t="s">
        <v>1199</v>
      </c>
      <c r="C336" s="445" t="s">
        <v>45</v>
      </c>
      <c r="D336" s="443" t="s">
        <v>290</v>
      </c>
      <c r="E336" s="511">
        <v>11.84</v>
      </c>
      <c r="F336" s="516">
        <v>1.84</v>
      </c>
      <c r="G336" s="446">
        <f>E336*F336</f>
        <v>21.79</v>
      </c>
      <c r="H336" s="444">
        <f>G336*3.322</f>
        <v>72.39</v>
      </c>
      <c r="I336" s="446">
        <f>ROUND(H336*1.25,2)</f>
        <v>90.49</v>
      </c>
      <c r="J336" s="446"/>
    </row>
    <row r="337" spans="1:10" x14ac:dyDescent="0.25">
      <c r="A337" s="459"/>
      <c r="C337" s="445"/>
      <c r="D337" s="494"/>
      <c r="E337" s="511"/>
      <c r="F337" s="516"/>
      <c r="G337" s="517"/>
      <c r="H337" s="518"/>
      <c r="I337" s="517"/>
      <c r="J337" s="460"/>
    </row>
    <row r="338" spans="1:10" ht="16.2" x14ac:dyDescent="0.3">
      <c r="A338" s="459" t="s">
        <v>1233</v>
      </c>
      <c r="B338" s="422" t="s">
        <v>1234</v>
      </c>
      <c r="C338" s="445" t="s">
        <v>1235</v>
      </c>
      <c r="D338" s="443" t="s">
        <v>290</v>
      </c>
      <c r="E338" s="511">
        <v>11.84</v>
      </c>
      <c r="F338" s="516">
        <v>0.33</v>
      </c>
      <c r="G338" s="446">
        <f>E338*F338</f>
        <v>3.91</v>
      </c>
      <c r="H338" s="444">
        <f>G338*3.322</f>
        <v>12.99</v>
      </c>
      <c r="I338" s="446">
        <f>ROUND(H338*1.25,2)</f>
        <v>16.239999999999998</v>
      </c>
      <c r="J338" s="446">
        <f>ROUND(H338*1.298,1)</f>
        <v>16.899999999999999</v>
      </c>
    </row>
    <row r="339" spans="1:10" x14ac:dyDescent="0.25">
      <c r="A339" s="459"/>
      <c r="B339" s="422" t="s">
        <v>1236</v>
      </c>
      <c r="C339" s="445" t="s">
        <v>1089</v>
      </c>
      <c r="D339" s="494"/>
      <c r="E339" s="511"/>
      <c r="F339" s="516"/>
      <c r="G339" s="446"/>
      <c r="H339" s="444"/>
      <c r="I339" s="446"/>
      <c r="J339" s="446"/>
    </row>
    <row r="340" spans="1:10" x14ac:dyDescent="0.25">
      <c r="A340" s="459"/>
      <c r="B340" s="460" t="s">
        <v>1237</v>
      </c>
      <c r="C340" s="445"/>
      <c r="D340" s="494"/>
      <c r="E340" s="511"/>
      <c r="F340" s="516"/>
      <c r="G340" s="517"/>
      <c r="H340" s="544"/>
      <c r="I340" s="517"/>
      <c r="J340" s="460"/>
    </row>
    <row r="341" spans="1:10" x14ac:dyDescent="0.25">
      <c r="A341" s="459"/>
      <c r="B341" s="422" t="s">
        <v>1238</v>
      </c>
      <c r="C341" s="445"/>
      <c r="D341" s="494"/>
      <c r="E341" s="511"/>
      <c r="F341" s="516"/>
      <c r="G341" s="517"/>
      <c r="H341" s="518"/>
      <c r="I341" s="517"/>
      <c r="J341" s="460"/>
    </row>
    <row r="342" spans="1:10" x14ac:dyDescent="0.25">
      <c r="A342" s="459"/>
      <c r="C342" s="445"/>
      <c r="D342" s="494"/>
      <c r="E342" s="511"/>
      <c r="F342" s="516"/>
      <c r="G342" s="517"/>
      <c r="H342" s="518"/>
      <c r="I342" s="517"/>
      <c r="J342" s="460"/>
    </row>
    <row r="343" spans="1:10" x14ac:dyDescent="0.25">
      <c r="A343" s="459" t="s">
        <v>1239</v>
      </c>
      <c r="B343" s="422" t="s">
        <v>1240</v>
      </c>
      <c r="C343" s="445" t="s">
        <v>570</v>
      </c>
      <c r="D343" s="443" t="s">
        <v>290</v>
      </c>
      <c r="E343" s="511">
        <v>11.84</v>
      </c>
      <c r="F343" s="516">
        <v>0.52</v>
      </c>
      <c r="G343" s="446">
        <f>E343*F343</f>
        <v>6.16</v>
      </c>
      <c r="H343" s="444">
        <f>G343*3.322</f>
        <v>20.46</v>
      </c>
      <c r="I343" s="446">
        <f>ROUND(H343*1.25,2)</f>
        <v>25.58</v>
      </c>
      <c r="J343" s="446"/>
    </row>
    <row r="344" spans="1:10" x14ac:dyDescent="0.25">
      <c r="A344" s="459"/>
      <c r="C344" s="445"/>
      <c r="D344" s="494"/>
      <c r="E344" s="511"/>
      <c r="F344" s="516"/>
      <c r="G344" s="517"/>
      <c r="H344" s="518"/>
      <c r="I344" s="517"/>
      <c r="J344" s="460"/>
    </row>
    <row r="345" spans="1:10" x14ac:dyDescent="0.25">
      <c r="A345" s="459" t="s">
        <v>1241</v>
      </c>
      <c r="B345" s="422" t="s">
        <v>1242</v>
      </c>
      <c r="C345" s="445" t="s">
        <v>45</v>
      </c>
      <c r="D345" s="443" t="s">
        <v>290</v>
      </c>
      <c r="E345" s="511">
        <v>11.84</v>
      </c>
      <c r="F345" s="516">
        <v>0.69</v>
      </c>
      <c r="G345" s="446">
        <f>E345*F345</f>
        <v>8.17</v>
      </c>
      <c r="H345" s="444">
        <f>G345*3.322</f>
        <v>27.14</v>
      </c>
      <c r="I345" s="446">
        <f>ROUND(H345*1.25,2)</f>
        <v>33.93</v>
      </c>
      <c r="J345" s="446"/>
    </row>
    <row r="346" spans="1:10" x14ac:dyDescent="0.25">
      <c r="A346" s="459"/>
      <c r="C346" s="445"/>
      <c r="D346" s="494"/>
      <c r="E346" s="511"/>
      <c r="F346" s="516"/>
      <c r="G346" s="517"/>
      <c r="H346" s="518"/>
      <c r="I346" s="517"/>
      <c r="J346" s="460"/>
    </row>
    <row r="347" spans="1:10" x14ac:dyDescent="0.25">
      <c r="A347" s="459" t="s">
        <v>1243</v>
      </c>
      <c r="B347" s="422" t="s">
        <v>1244</v>
      </c>
      <c r="C347" s="445" t="s">
        <v>1245</v>
      </c>
      <c r="D347" s="547" t="s">
        <v>1246</v>
      </c>
      <c r="E347" s="512">
        <v>20.9</v>
      </c>
      <c r="F347" s="516">
        <v>1.44</v>
      </c>
      <c r="G347" s="446">
        <f t="shared" ref="G347:G357" si="11">E347*F347</f>
        <v>30.1</v>
      </c>
      <c r="H347" s="444">
        <f>G347*3.322+G348*3.322</f>
        <v>222.74</v>
      </c>
      <c r="I347" s="446">
        <f>ROUND(H347*1.25,2)</f>
        <v>278.43</v>
      </c>
      <c r="J347" s="446"/>
    </row>
    <row r="348" spans="1:10" x14ac:dyDescent="0.25">
      <c r="A348" s="459"/>
      <c r="B348" s="422" t="s">
        <v>1247</v>
      </c>
      <c r="C348" s="445"/>
      <c r="D348" s="443" t="s">
        <v>41</v>
      </c>
      <c r="E348" s="511">
        <v>12.92</v>
      </c>
      <c r="F348" s="516">
        <v>2.86</v>
      </c>
      <c r="G348" s="446">
        <f t="shared" si="11"/>
        <v>36.950000000000003</v>
      </c>
      <c r="H348" s="444"/>
      <c r="I348" s="446"/>
      <c r="J348" s="446"/>
    </row>
    <row r="349" spans="1:10" ht="21" customHeight="1" x14ac:dyDescent="0.25">
      <c r="A349" s="459" t="s">
        <v>1248</v>
      </c>
      <c r="B349" s="422" t="s">
        <v>1249</v>
      </c>
      <c r="C349" s="445" t="s">
        <v>45</v>
      </c>
      <c r="D349" s="547" t="s">
        <v>1246</v>
      </c>
      <c r="E349" s="512">
        <v>20.9</v>
      </c>
      <c r="F349" s="516">
        <v>0.9</v>
      </c>
      <c r="G349" s="446">
        <f t="shared" si="11"/>
        <v>18.809999999999999</v>
      </c>
      <c r="H349" s="444">
        <f>G349*3.322+G350*3.322</f>
        <v>144.04</v>
      </c>
      <c r="I349" s="446">
        <f>ROUND(H349*1.25,2)</f>
        <v>180.05</v>
      </c>
      <c r="J349" s="446"/>
    </row>
    <row r="350" spans="1:10" x14ac:dyDescent="0.25">
      <c r="A350" s="459"/>
      <c r="C350" s="445"/>
      <c r="D350" s="443" t="s">
        <v>41</v>
      </c>
      <c r="E350" s="511">
        <v>12.92</v>
      </c>
      <c r="F350" s="516">
        <v>1.9</v>
      </c>
      <c r="G350" s="446">
        <f t="shared" si="11"/>
        <v>24.55</v>
      </c>
      <c r="H350" s="444"/>
      <c r="I350" s="446"/>
      <c r="J350" s="446"/>
    </row>
    <row r="351" spans="1:10" ht="21" customHeight="1" x14ac:dyDescent="0.25">
      <c r="A351" s="562" t="s">
        <v>1250</v>
      </c>
      <c r="B351" s="502" t="s">
        <v>1251</v>
      </c>
      <c r="C351" s="445" t="s">
        <v>45</v>
      </c>
      <c r="D351" s="547" t="s">
        <v>1246</v>
      </c>
      <c r="E351" s="512">
        <v>20.9</v>
      </c>
      <c r="F351" s="516">
        <v>1.73</v>
      </c>
      <c r="G351" s="446">
        <f t="shared" si="11"/>
        <v>36.159999999999997</v>
      </c>
      <c r="H351" s="444">
        <f>G351*3.322+G352*3.322+G353*3.322</f>
        <v>284.26</v>
      </c>
      <c r="I351" s="446">
        <f>ROUND(H351*1.25,2)</f>
        <v>355.33</v>
      </c>
      <c r="J351" s="446"/>
    </row>
    <row r="352" spans="1:10" x14ac:dyDescent="0.25">
      <c r="A352" s="459"/>
      <c r="B352" s="422" t="s">
        <v>1247</v>
      </c>
      <c r="C352" s="445"/>
      <c r="D352" s="443" t="s">
        <v>41</v>
      </c>
      <c r="E352" s="511">
        <v>12.92</v>
      </c>
      <c r="F352" s="516">
        <v>1.8</v>
      </c>
      <c r="G352" s="446">
        <f t="shared" si="11"/>
        <v>23.26</v>
      </c>
      <c r="H352" s="444"/>
      <c r="I352" s="446"/>
      <c r="J352" s="460"/>
    </row>
    <row r="353" spans="1:10" x14ac:dyDescent="0.25">
      <c r="A353" s="459"/>
      <c r="C353" s="445"/>
      <c r="D353" s="443" t="s">
        <v>42</v>
      </c>
      <c r="E353" s="511">
        <v>14.53</v>
      </c>
      <c r="F353" s="516">
        <v>1.8</v>
      </c>
      <c r="G353" s="446">
        <f t="shared" si="11"/>
        <v>26.15</v>
      </c>
      <c r="H353" s="444"/>
      <c r="I353" s="446"/>
      <c r="J353" s="460"/>
    </row>
    <row r="354" spans="1:10" ht="21" customHeight="1" x14ac:dyDescent="0.25">
      <c r="A354" s="459" t="s">
        <v>1252</v>
      </c>
      <c r="B354" s="422" t="s">
        <v>1249</v>
      </c>
      <c r="C354" s="445" t="s">
        <v>45</v>
      </c>
      <c r="D354" s="547" t="s">
        <v>1246</v>
      </c>
      <c r="E354" s="512">
        <v>20.9</v>
      </c>
      <c r="F354" s="516">
        <v>1</v>
      </c>
      <c r="G354" s="446">
        <f t="shared" si="11"/>
        <v>20.9</v>
      </c>
      <c r="H354" s="444">
        <f>G354*3.322+G355*3.322+G356*3.322</f>
        <v>169.72</v>
      </c>
      <c r="I354" s="446">
        <f>ROUND(H354*1.25,2)</f>
        <v>212.15</v>
      </c>
      <c r="J354" s="446"/>
    </row>
    <row r="355" spans="1:10" x14ac:dyDescent="0.25">
      <c r="A355" s="459"/>
      <c r="C355" s="445"/>
      <c r="D355" s="443" t="s">
        <v>41</v>
      </c>
      <c r="E355" s="511">
        <v>12.92</v>
      </c>
      <c r="F355" s="516">
        <v>1.1000000000000001</v>
      </c>
      <c r="G355" s="446">
        <f t="shared" si="11"/>
        <v>14.21</v>
      </c>
      <c r="H355" s="444"/>
      <c r="I355" s="446"/>
      <c r="J355" s="460"/>
    </row>
    <row r="356" spans="1:10" x14ac:dyDescent="0.25">
      <c r="A356" s="459"/>
      <c r="C356" s="445"/>
      <c r="D356" s="443" t="s">
        <v>42</v>
      </c>
      <c r="E356" s="511">
        <v>14.53</v>
      </c>
      <c r="F356" s="516">
        <v>1.1000000000000001</v>
      </c>
      <c r="G356" s="446">
        <f t="shared" si="11"/>
        <v>15.98</v>
      </c>
      <c r="H356" s="444"/>
      <c r="I356" s="446"/>
      <c r="J356" s="460"/>
    </row>
    <row r="357" spans="1:10" ht="21.75" customHeight="1" x14ac:dyDescent="0.25">
      <c r="A357" s="459" t="s">
        <v>1253</v>
      </c>
      <c r="B357" s="490" t="s">
        <v>1254</v>
      </c>
      <c r="C357" s="445" t="s">
        <v>45</v>
      </c>
      <c r="D357" s="443" t="s">
        <v>290</v>
      </c>
      <c r="E357" s="563" t="s">
        <v>1255</v>
      </c>
      <c r="F357" s="516">
        <v>2.76</v>
      </c>
      <c r="G357" s="446">
        <f t="shared" si="11"/>
        <v>32.68</v>
      </c>
      <c r="H357" s="444">
        <f>G357*3.322</f>
        <v>108.56</v>
      </c>
      <c r="I357" s="446">
        <f>ROUND(H357*1.25,2)</f>
        <v>135.69999999999999</v>
      </c>
      <c r="J357" s="446"/>
    </row>
    <row r="358" spans="1:10" x14ac:dyDescent="0.25">
      <c r="A358" s="459"/>
      <c r="C358" s="445"/>
      <c r="D358" s="494"/>
      <c r="E358" s="511"/>
      <c r="F358" s="516"/>
      <c r="G358" s="517"/>
      <c r="H358" s="518"/>
      <c r="I358" s="517"/>
      <c r="J358" s="460"/>
    </row>
    <row r="359" spans="1:10" x14ac:dyDescent="0.25">
      <c r="A359" s="459" t="s">
        <v>1256</v>
      </c>
      <c r="B359" s="422" t="s">
        <v>1249</v>
      </c>
      <c r="C359" s="445" t="s">
        <v>45</v>
      </c>
      <c r="D359" s="443" t="s">
        <v>290</v>
      </c>
      <c r="E359" s="511">
        <v>11.84</v>
      </c>
      <c r="F359" s="516">
        <v>1.75</v>
      </c>
      <c r="G359" s="446">
        <f>E359*F359</f>
        <v>20.72</v>
      </c>
      <c r="H359" s="444">
        <f>G359*3.322</f>
        <v>68.83</v>
      </c>
      <c r="I359" s="446">
        <f>ROUND(H359*1.25,2)</f>
        <v>86.04</v>
      </c>
      <c r="J359" s="446"/>
    </row>
    <row r="360" spans="1:10" x14ac:dyDescent="0.25">
      <c r="A360" s="459"/>
      <c r="C360" s="445"/>
      <c r="D360" s="494"/>
      <c r="E360" s="511"/>
      <c r="F360" s="516"/>
      <c r="G360" s="446"/>
      <c r="H360" s="444"/>
      <c r="I360" s="446"/>
      <c r="J360" s="460"/>
    </row>
    <row r="361" spans="1:10" x14ac:dyDescent="0.25">
      <c r="A361" s="459" t="s">
        <v>1257</v>
      </c>
      <c r="B361" s="490" t="s">
        <v>1258</v>
      </c>
      <c r="C361" s="445" t="s">
        <v>45</v>
      </c>
      <c r="D361" s="443" t="s">
        <v>290</v>
      </c>
      <c r="E361" s="511">
        <v>11.84</v>
      </c>
      <c r="F361" s="516">
        <v>0.32</v>
      </c>
      <c r="G361" s="446">
        <f>E361*F361</f>
        <v>3.79</v>
      </c>
      <c r="H361" s="444">
        <f>G361*3.322</f>
        <v>12.59</v>
      </c>
      <c r="I361" s="446">
        <f>ROUND(H361*1.25,2)</f>
        <v>15.74</v>
      </c>
      <c r="J361" s="446"/>
    </row>
    <row r="362" spans="1:10" x14ac:dyDescent="0.25">
      <c r="A362" s="459"/>
      <c r="C362" s="445"/>
      <c r="D362" s="494"/>
      <c r="E362" s="511"/>
      <c r="F362" s="516"/>
      <c r="G362" s="446"/>
      <c r="H362" s="444"/>
      <c r="I362" s="446"/>
      <c r="J362" s="460"/>
    </row>
    <row r="363" spans="1:10" x14ac:dyDescent="0.25">
      <c r="A363" s="459" t="s">
        <v>1259</v>
      </c>
      <c r="B363" s="422" t="s">
        <v>1260</v>
      </c>
      <c r="C363" s="445" t="s">
        <v>570</v>
      </c>
      <c r="D363" s="443" t="s">
        <v>290</v>
      </c>
      <c r="E363" s="511">
        <v>11.84</v>
      </c>
      <c r="F363" s="516">
        <v>0.36</v>
      </c>
      <c r="G363" s="446">
        <f>E363*F363</f>
        <v>4.26</v>
      </c>
      <c r="H363" s="444">
        <f>G363*3.322</f>
        <v>14.15</v>
      </c>
      <c r="I363" s="446">
        <f>ROUND(H363*1.25,2)</f>
        <v>17.690000000000001</v>
      </c>
      <c r="J363" s="446"/>
    </row>
    <row r="364" spans="1:10" x14ac:dyDescent="0.25">
      <c r="A364" s="459"/>
      <c r="C364" s="445"/>
      <c r="D364" s="494"/>
      <c r="E364" s="511"/>
      <c r="F364" s="516"/>
      <c r="G364" s="517"/>
      <c r="H364" s="518"/>
      <c r="I364" s="517"/>
      <c r="J364" s="460"/>
    </row>
    <row r="365" spans="1:10" x14ac:dyDescent="0.25">
      <c r="A365" s="459" t="s">
        <v>1261</v>
      </c>
      <c r="B365" s="497" t="s">
        <v>1262</v>
      </c>
      <c r="C365" s="445" t="s">
        <v>1263</v>
      </c>
      <c r="D365" s="443" t="s">
        <v>41</v>
      </c>
      <c r="E365" s="511">
        <v>12.92</v>
      </c>
      <c r="F365" s="516">
        <v>7.85</v>
      </c>
      <c r="G365" s="446">
        <f>E365*F365</f>
        <v>101.42</v>
      </c>
      <c r="H365" s="444">
        <f>G365*3.322</f>
        <v>336.92</v>
      </c>
      <c r="I365" s="446">
        <f>ROUND(H365*1.25,2)</f>
        <v>421.15</v>
      </c>
      <c r="J365" s="446"/>
    </row>
    <row r="366" spans="1:10" x14ac:dyDescent="0.25">
      <c r="A366" s="459"/>
      <c r="C366" s="445"/>
      <c r="D366" s="494"/>
      <c r="E366" s="511"/>
      <c r="F366" s="516"/>
      <c r="G366" s="517"/>
      <c r="H366" s="518"/>
      <c r="I366" s="517"/>
      <c r="J366" s="460"/>
    </row>
    <row r="367" spans="1:10" ht="18.75" customHeight="1" x14ac:dyDescent="0.25">
      <c r="A367" s="459" t="s">
        <v>1264</v>
      </c>
      <c r="B367" s="422" t="s">
        <v>994</v>
      </c>
      <c r="C367" s="445" t="s">
        <v>1263</v>
      </c>
      <c r="D367" s="443" t="s">
        <v>41</v>
      </c>
      <c r="E367" s="511">
        <v>12.92</v>
      </c>
      <c r="F367" s="516">
        <v>1.93</v>
      </c>
      <c r="G367" s="446">
        <f>E367*F367</f>
        <v>24.94</v>
      </c>
      <c r="H367" s="444">
        <f>G367*3.322</f>
        <v>82.85</v>
      </c>
      <c r="I367" s="446">
        <f>ROUND(H367*1.25,2)</f>
        <v>103.56</v>
      </c>
      <c r="J367" s="446"/>
    </row>
    <row r="368" spans="1:10" x14ac:dyDescent="0.25">
      <c r="A368" s="459"/>
      <c r="C368" s="445"/>
      <c r="D368" s="494"/>
      <c r="E368" s="511"/>
      <c r="F368" s="516"/>
      <c r="G368" s="517"/>
      <c r="H368" s="544"/>
      <c r="I368" s="517"/>
      <c r="J368" s="460"/>
    </row>
    <row r="369" spans="1:10" x14ac:dyDescent="0.25">
      <c r="A369" s="459" t="s">
        <v>1265</v>
      </c>
      <c r="B369" s="422" t="s">
        <v>1266</v>
      </c>
      <c r="C369" s="445" t="s">
        <v>1267</v>
      </c>
      <c r="D369" s="443" t="s">
        <v>41</v>
      </c>
      <c r="E369" s="511">
        <v>12.92</v>
      </c>
      <c r="F369" s="516">
        <v>9.1999999999999993</v>
      </c>
      <c r="G369" s="446">
        <f>E369*F369</f>
        <v>118.86</v>
      </c>
      <c r="H369" s="444">
        <f>G369*3.322</f>
        <v>394.85</v>
      </c>
      <c r="I369" s="446">
        <f>ROUND(H369*1.25,2)</f>
        <v>493.56</v>
      </c>
      <c r="J369" s="446"/>
    </row>
    <row r="370" spans="1:10" x14ac:dyDescent="0.25">
      <c r="A370" s="459"/>
      <c r="B370" s="422" t="s">
        <v>1247</v>
      </c>
      <c r="C370" s="445"/>
      <c r="D370" s="494"/>
      <c r="E370" s="511"/>
      <c r="F370" s="516"/>
      <c r="G370" s="446"/>
      <c r="H370" s="444"/>
      <c r="I370" s="446"/>
      <c r="J370" s="446"/>
    </row>
    <row r="371" spans="1:10" x14ac:dyDescent="0.25">
      <c r="A371" s="459"/>
      <c r="B371" s="422" t="s">
        <v>1268</v>
      </c>
      <c r="C371" s="445"/>
      <c r="D371" s="494"/>
      <c r="E371" s="511"/>
      <c r="F371" s="516"/>
      <c r="G371" s="517"/>
      <c r="H371" s="518"/>
      <c r="I371" s="517"/>
      <c r="J371" s="460"/>
    </row>
    <row r="372" spans="1:10" x14ac:dyDescent="0.25">
      <c r="A372" s="459"/>
      <c r="B372" s="422" t="s">
        <v>1269</v>
      </c>
      <c r="C372" s="445"/>
      <c r="D372" s="443"/>
      <c r="E372" s="511"/>
      <c r="F372" s="516"/>
      <c r="G372" s="446"/>
      <c r="H372" s="444"/>
      <c r="I372" s="446"/>
      <c r="J372" s="446"/>
    </row>
    <row r="373" spans="1:10" x14ac:dyDescent="0.25">
      <c r="A373" s="459"/>
      <c r="C373" s="445"/>
      <c r="D373" s="443"/>
      <c r="E373" s="511"/>
      <c r="F373" s="516"/>
      <c r="G373" s="517"/>
      <c r="H373" s="518"/>
      <c r="I373" s="517"/>
      <c r="J373" s="460"/>
    </row>
    <row r="374" spans="1:10" x14ac:dyDescent="0.25">
      <c r="A374" s="459" t="s">
        <v>1270</v>
      </c>
      <c r="B374" s="422" t="s">
        <v>1271</v>
      </c>
      <c r="C374" s="445" t="s">
        <v>88</v>
      </c>
      <c r="D374" s="443" t="s">
        <v>41</v>
      </c>
      <c r="E374" s="511">
        <v>12.92</v>
      </c>
      <c r="F374" s="516">
        <v>1.2</v>
      </c>
      <c r="G374" s="446">
        <f>E374*F374</f>
        <v>15.5</v>
      </c>
      <c r="H374" s="444">
        <f>G374*3.322</f>
        <v>51.49</v>
      </c>
      <c r="I374" s="446">
        <f>ROUND(H374*1.25,2)</f>
        <v>64.36</v>
      </c>
      <c r="J374" s="446">
        <f>ROUND(H374*1.298,1)</f>
        <v>66.8</v>
      </c>
    </row>
    <row r="375" spans="1:10" x14ac:dyDescent="0.25">
      <c r="A375" s="459"/>
      <c r="B375" s="422" t="s">
        <v>1272</v>
      </c>
      <c r="C375" s="445"/>
      <c r="D375" s="494"/>
      <c r="E375" s="511"/>
      <c r="F375" s="516"/>
      <c r="G375" s="446"/>
      <c r="H375" s="444"/>
      <c r="I375" s="446"/>
      <c r="J375" s="460"/>
    </row>
    <row r="376" spans="1:10" x14ac:dyDescent="0.25">
      <c r="A376" s="459"/>
      <c r="C376" s="445"/>
      <c r="D376" s="494"/>
      <c r="E376" s="511"/>
      <c r="F376" s="516"/>
      <c r="G376" s="517"/>
      <c r="H376" s="518"/>
      <c r="I376" s="517"/>
      <c r="J376" s="460"/>
    </row>
    <row r="377" spans="1:10" x14ac:dyDescent="0.25">
      <c r="A377" s="459" t="s">
        <v>1273</v>
      </c>
      <c r="B377" s="422" t="s">
        <v>1274</v>
      </c>
      <c r="C377" s="445" t="s">
        <v>1275</v>
      </c>
      <c r="D377" s="443" t="s">
        <v>41</v>
      </c>
      <c r="E377" s="511">
        <v>12.92</v>
      </c>
      <c r="F377" s="516">
        <v>1.64</v>
      </c>
      <c r="G377" s="446">
        <f>E377*F377</f>
        <v>21.19</v>
      </c>
      <c r="H377" s="444">
        <f>G377*3.322</f>
        <v>70.39</v>
      </c>
      <c r="I377" s="446">
        <f>ROUND(H377*1.25,2)</f>
        <v>87.99</v>
      </c>
      <c r="J377" s="446">
        <f>ROUND(H377*1.298,1)</f>
        <v>91.4</v>
      </c>
    </row>
    <row r="378" spans="1:10" x14ac:dyDescent="0.25">
      <c r="A378" s="459"/>
      <c r="C378" s="445"/>
      <c r="D378" s="494"/>
      <c r="E378" s="511"/>
      <c r="F378" s="516"/>
      <c r="G378" s="517"/>
      <c r="H378" s="518"/>
      <c r="I378" s="517"/>
      <c r="J378" s="460"/>
    </row>
    <row r="379" spans="1:10" x14ac:dyDescent="0.25">
      <c r="A379" s="459" t="s">
        <v>1276</v>
      </c>
      <c r="B379" s="422" t="s">
        <v>1277</v>
      </c>
      <c r="C379" s="445" t="s">
        <v>45</v>
      </c>
      <c r="D379" s="443" t="s">
        <v>41</v>
      </c>
      <c r="E379" s="511">
        <v>12.92</v>
      </c>
      <c r="F379" s="516">
        <v>8.06</v>
      </c>
      <c r="G379" s="446">
        <f>E379*F379</f>
        <v>104.14</v>
      </c>
      <c r="H379" s="444">
        <f>G379*3.322</f>
        <v>345.95</v>
      </c>
      <c r="I379" s="446">
        <f>ROUND(H379*1.25,2)</f>
        <v>432.44</v>
      </c>
      <c r="J379" s="446"/>
    </row>
    <row r="380" spans="1:10" x14ac:dyDescent="0.25">
      <c r="A380" s="459"/>
      <c r="B380" s="422" t="s">
        <v>1278</v>
      </c>
      <c r="C380" s="445"/>
      <c r="D380" s="494"/>
      <c r="E380" s="511"/>
      <c r="F380" s="516"/>
      <c r="G380" s="517"/>
      <c r="H380" s="518"/>
      <c r="I380" s="517"/>
      <c r="J380" s="460"/>
    </row>
    <row r="381" spans="1:10" x14ac:dyDescent="0.25">
      <c r="A381" s="459"/>
      <c r="C381" s="445"/>
      <c r="D381" s="494"/>
      <c r="E381" s="511"/>
      <c r="F381" s="516"/>
      <c r="G381" s="517"/>
      <c r="H381" s="518"/>
      <c r="I381" s="517"/>
      <c r="J381" s="460"/>
    </row>
    <row r="382" spans="1:10" x14ac:dyDescent="0.25">
      <c r="A382" s="459" t="s">
        <v>1279</v>
      </c>
      <c r="B382" s="422" t="s">
        <v>1280</v>
      </c>
      <c r="C382" s="445" t="s">
        <v>45</v>
      </c>
      <c r="D382" s="443" t="s">
        <v>41</v>
      </c>
      <c r="E382" s="511">
        <v>12.92</v>
      </c>
      <c r="F382" s="516">
        <v>3.41</v>
      </c>
      <c r="G382" s="446">
        <f>E382*F382</f>
        <v>44.06</v>
      </c>
      <c r="H382" s="444">
        <f>G382*3.322</f>
        <v>146.37</v>
      </c>
      <c r="I382" s="446">
        <f>ROUND(H382*1.25,2)</f>
        <v>182.96</v>
      </c>
      <c r="J382" s="446"/>
    </row>
    <row r="383" spans="1:10" x14ac:dyDescent="0.25">
      <c r="A383" s="459"/>
      <c r="C383" s="445"/>
      <c r="D383" s="494"/>
      <c r="E383" s="511"/>
      <c r="F383" s="516"/>
      <c r="G383" s="517"/>
      <c r="H383" s="518"/>
      <c r="I383" s="517"/>
      <c r="J383" s="460"/>
    </row>
    <row r="384" spans="1:10" x14ac:dyDescent="0.25">
      <c r="A384" s="459" t="s">
        <v>1281</v>
      </c>
      <c r="B384" s="422" t="s">
        <v>1282</v>
      </c>
      <c r="C384" s="445" t="s">
        <v>45</v>
      </c>
      <c r="D384" s="443" t="s">
        <v>41</v>
      </c>
      <c r="E384" s="511">
        <v>12.92</v>
      </c>
      <c r="F384" s="516">
        <v>0.72</v>
      </c>
      <c r="G384" s="446">
        <f>E384*F384</f>
        <v>9.3000000000000007</v>
      </c>
      <c r="H384" s="444">
        <f>G384*3.322</f>
        <v>30.89</v>
      </c>
      <c r="I384" s="446">
        <f>ROUND(H384*1.25,2)</f>
        <v>38.61</v>
      </c>
      <c r="J384" s="446">
        <f>ROUND(H384*1.298,1)</f>
        <v>40.1</v>
      </c>
    </row>
    <row r="385" spans="1:10" x14ac:dyDescent="0.25">
      <c r="A385" s="459"/>
      <c r="C385" s="445"/>
      <c r="D385" s="494"/>
      <c r="E385" s="511"/>
      <c r="F385" s="516"/>
      <c r="G385" s="517"/>
      <c r="H385" s="518"/>
      <c r="I385" s="517"/>
      <c r="J385" s="460"/>
    </row>
    <row r="386" spans="1:10" x14ac:dyDescent="0.25">
      <c r="A386" s="459" t="s">
        <v>1283</v>
      </c>
      <c r="B386" s="422" t="s">
        <v>1284</v>
      </c>
      <c r="C386" s="445" t="s">
        <v>45</v>
      </c>
      <c r="D386" s="547" t="s">
        <v>1246</v>
      </c>
      <c r="E386" s="512">
        <v>20.9</v>
      </c>
      <c r="F386" s="516">
        <v>3</v>
      </c>
      <c r="G386" s="446">
        <f>E386*F386</f>
        <v>62.7</v>
      </c>
      <c r="H386" s="444">
        <f>G386*3.322+G387*3.322</f>
        <v>465.81</v>
      </c>
      <c r="I386" s="446">
        <f>ROUND(H386*1.25,2)</f>
        <v>582.26</v>
      </c>
      <c r="J386" s="446">
        <f>ROUND(H386*1.298,1)</f>
        <v>604.6</v>
      </c>
    </row>
    <row r="387" spans="1:10" x14ac:dyDescent="0.25">
      <c r="A387" s="459"/>
      <c r="B387" s="422" t="s">
        <v>1285</v>
      </c>
      <c r="C387" s="445"/>
      <c r="D387" s="443" t="s">
        <v>41</v>
      </c>
      <c r="E387" s="511">
        <v>12.92</v>
      </c>
      <c r="F387" s="516">
        <v>6</v>
      </c>
      <c r="G387" s="446">
        <f>E387*F387</f>
        <v>77.52</v>
      </c>
      <c r="H387" s="518"/>
      <c r="I387" s="517"/>
      <c r="J387" s="460"/>
    </row>
    <row r="388" spans="1:10" ht="21" customHeight="1" x14ac:dyDescent="0.25">
      <c r="A388" s="459"/>
      <c r="B388" s="422" t="s">
        <v>1286</v>
      </c>
      <c r="C388" s="445" t="s">
        <v>45</v>
      </c>
      <c r="D388" s="547" t="s">
        <v>1246</v>
      </c>
      <c r="E388" s="512">
        <v>20.9</v>
      </c>
      <c r="F388" s="516">
        <v>4</v>
      </c>
      <c r="G388" s="446">
        <f>E388*F388</f>
        <v>83.6</v>
      </c>
      <c r="H388" s="444">
        <f>G388*3.322+G389*3.322</f>
        <v>621.08000000000004</v>
      </c>
      <c r="I388" s="446">
        <f>ROUND(H388*1.25,2)</f>
        <v>776.35</v>
      </c>
      <c r="J388" s="446">
        <f>ROUND(H388*1.298,1)</f>
        <v>806.2</v>
      </c>
    </row>
    <row r="389" spans="1:10" x14ac:dyDescent="0.25">
      <c r="A389" s="459"/>
      <c r="C389" s="445"/>
      <c r="D389" s="443" t="s">
        <v>41</v>
      </c>
      <c r="E389" s="511">
        <v>12.92</v>
      </c>
      <c r="F389" s="516">
        <v>8</v>
      </c>
      <c r="G389" s="446">
        <f>E389*F389</f>
        <v>103.36</v>
      </c>
      <c r="H389" s="518"/>
      <c r="I389" s="517"/>
      <c r="J389" s="460"/>
    </row>
    <row r="390" spans="1:10" x14ac:dyDescent="0.25">
      <c r="A390" s="459"/>
      <c r="C390" s="445"/>
      <c r="D390" s="494"/>
      <c r="E390" s="511"/>
      <c r="F390" s="516"/>
      <c r="G390" s="517"/>
      <c r="H390" s="518"/>
      <c r="I390" s="517"/>
      <c r="J390" s="460"/>
    </row>
    <row r="391" spans="1:10" x14ac:dyDescent="0.25">
      <c r="A391" s="459" t="s">
        <v>1287</v>
      </c>
      <c r="B391" s="422" t="s">
        <v>1288</v>
      </c>
      <c r="C391" s="445" t="s">
        <v>45</v>
      </c>
      <c r="D391" s="547" t="s">
        <v>1246</v>
      </c>
      <c r="E391" s="512">
        <v>20.9</v>
      </c>
      <c r="F391" s="516">
        <v>1.5</v>
      </c>
      <c r="G391" s="446">
        <f>E391*F391</f>
        <v>31.35</v>
      </c>
      <c r="H391" s="444">
        <f>G391*3.322+G392*3.322</f>
        <v>168.53</v>
      </c>
      <c r="I391" s="446">
        <f>ROUND(H391*1.25,2)</f>
        <v>210.66</v>
      </c>
      <c r="J391" s="446">
        <f>ROUND(H391*1.298,1)</f>
        <v>218.8</v>
      </c>
    </row>
    <row r="392" spans="1:10" x14ac:dyDescent="0.25">
      <c r="A392" s="459"/>
      <c r="B392" s="422" t="s">
        <v>1289</v>
      </c>
      <c r="C392" s="445"/>
      <c r="D392" s="443" t="s">
        <v>41</v>
      </c>
      <c r="E392" s="511">
        <v>12.92</v>
      </c>
      <c r="F392" s="516">
        <v>1.5</v>
      </c>
      <c r="G392" s="446">
        <f>E392*F392</f>
        <v>19.38</v>
      </c>
      <c r="H392" s="518"/>
      <c r="I392" s="517"/>
      <c r="J392" s="460"/>
    </row>
    <row r="393" spans="1:10" x14ac:dyDescent="0.25">
      <c r="A393" s="459"/>
      <c r="C393" s="445"/>
      <c r="D393" s="494"/>
      <c r="E393" s="511"/>
      <c r="F393" s="516"/>
      <c r="G393" s="517"/>
      <c r="H393" s="518"/>
      <c r="I393" s="517"/>
      <c r="J393" s="460"/>
    </row>
    <row r="394" spans="1:10" x14ac:dyDescent="0.25">
      <c r="A394" s="459" t="s">
        <v>1290</v>
      </c>
      <c r="B394" s="502" t="s">
        <v>1291</v>
      </c>
      <c r="C394" s="445" t="s">
        <v>1292</v>
      </c>
      <c r="D394" s="547" t="s">
        <v>1246</v>
      </c>
      <c r="E394" s="512">
        <v>20.9</v>
      </c>
      <c r="F394" s="516">
        <v>1.5</v>
      </c>
      <c r="G394" s="446">
        <f>E394*F394</f>
        <v>31.35</v>
      </c>
      <c r="H394" s="444">
        <f>G394*3.322+G395*3.322+G396*3.322</f>
        <v>265.49</v>
      </c>
      <c r="I394" s="446">
        <f>ROUND(H394*1.25,2)</f>
        <v>331.86</v>
      </c>
      <c r="J394" s="446">
        <f>ROUND(H394*1.298,1)</f>
        <v>344.6</v>
      </c>
    </row>
    <row r="395" spans="1:10" x14ac:dyDescent="0.25">
      <c r="A395" s="459"/>
      <c r="B395" s="422" t="s">
        <v>1293</v>
      </c>
      <c r="C395" s="445"/>
      <c r="D395" s="494" t="s">
        <v>41</v>
      </c>
      <c r="E395" s="511">
        <v>12.92</v>
      </c>
      <c r="F395" s="516">
        <v>1.5</v>
      </c>
      <c r="G395" s="446">
        <f>E395*F395</f>
        <v>19.38</v>
      </c>
      <c r="H395" s="544"/>
      <c r="I395" s="517"/>
      <c r="J395" s="460"/>
    </row>
    <row r="396" spans="1:10" x14ac:dyDescent="0.25">
      <c r="A396" s="459"/>
      <c r="B396" s="422" t="s">
        <v>1294</v>
      </c>
      <c r="C396" s="445"/>
      <c r="D396" s="443" t="s">
        <v>54</v>
      </c>
      <c r="E396" s="511">
        <v>16.68</v>
      </c>
      <c r="F396" s="516">
        <v>1.75</v>
      </c>
      <c r="G396" s="446">
        <f>E396*F396</f>
        <v>29.19</v>
      </c>
      <c r="H396" s="444"/>
      <c r="I396" s="446"/>
      <c r="J396" s="460"/>
    </row>
    <row r="397" spans="1:10" x14ac:dyDescent="0.25">
      <c r="A397" s="459"/>
      <c r="B397" s="521" t="s">
        <v>1295</v>
      </c>
      <c r="C397" s="445"/>
      <c r="D397" s="494"/>
      <c r="E397" s="511"/>
      <c r="F397" s="516"/>
      <c r="G397" s="446"/>
      <c r="H397" s="444"/>
      <c r="I397" s="446"/>
      <c r="J397" s="460"/>
    </row>
    <row r="398" spans="1:10" x14ac:dyDescent="0.25">
      <c r="A398" s="459"/>
      <c r="B398" s="422" t="s">
        <v>1296</v>
      </c>
      <c r="C398" s="445"/>
      <c r="D398" s="494"/>
      <c r="E398" s="511"/>
      <c r="F398" s="516"/>
      <c r="G398" s="446"/>
      <c r="H398" s="444"/>
      <c r="I398" s="446"/>
      <c r="J398" s="460"/>
    </row>
    <row r="399" spans="1:10" x14ac:dyDescent="0.25">
      <c r="A399" s="459"/>
      <c r="C399" s="445"/>
      <c r="D399" s="494"/>
      <c r="E399" s="511"/>
      <c r="F399" s="516"/>
      <c r="G399" s="446"/>
      <c r="H399" s="444"/>
      <c r="I399" s="446"/>
      <c r="J399" s="460"/>
    </row>
    <row r="400" spans="1:10" x14ac:dyDescent="0.25">
      <c r="A400" s="459" t="s">
        <v>1297</v>
      </c>
      <c r="B400" s="502" t="s">
        <v>1291</v>
      </c>
      <c r="C400" s="445" t="s">
        <v>45</v>
      </c>
      <c r="D400" s="547" t="s">
        <v>1246</v>
      </c>
      <c r="E400" s="512">
        <v>20.9</v>
      </c>
      <c r="F400" s="516">
        <v>2</v>
      </c>
      <c r="G400" s="446">
        <f>E400*F400</f>
        <v>41.8</v>
      </c>
      <c r="H400" s="444">
        <f>G400*3.322+G401*3.322+G402*3.322</f>
        <v>335.52</v>
      </c>
      <c r="I400" s="446">
        <f>ROUND(H400*1.25,2)</f>
        <v>419.4</v>
      </c>
      <c r="J400" s="446">
        <f>ROUND(H400*1.298,1)</f>
        <v>435.5</v>
      </c>
    </row>
    <row r="401" spans="1:10" x14ac:dyDescent="0.25">
      <c r="A401" s="459"/>
      <c r="B401" s="422" t="s">
        <v>1298</v>
      </c>
      <c r="C401" s="445"/>
      <c r="D401" s="494" t="s">
        <v>41</v>
      </c>
      <c r="E401" s="511">
        <v>12.92</v>
      </c>
      <c r="F401" s="516">
        <v>2</v>
      </c>
      <c r="G401" s="446">
        <f>E401*F401</f>
        <v>25.84</v>
      </c>
      <c r="H401" s="518"/>
      <c r="I401" s="517"/>
      <c r="J401" s="460"/>
    </row>
    <row r="402" spans="1:10" x14ac:dyDescent="0.25">
      <c r="A402" s="459"/>
      <c r="B402" s="422" t="s">
        <v>1299</v>
      </c>
      <c r="C402" s="445"/>
      <c r="D402" s="443" t="s">
        <v>54</v>
      </c>
      <c r="E402" s="511">
        <v>16.68</v>
      </c>
      <c r="F402" s="516">
        <v>2</v>
      </c>
      <c r="G402" s="446">
        <f>E402*F402</f>
        <v>33.36</v>
      </c>
      <c r="H402" s="518"/>
      <c r="I402" s="517"/>
      <c r="J402" s="460"/>
    </row>
    <row r="403" spans="1:10" ht="16.5" customHeight="1" x14ac:dyDescent="0.25">
      <c r="A403" s="459"/>
      <c r="B403" s="422" t="s">
        <v>1300</v>
      </c>
      <c r="C403" s="445"/>
      <c r="D403" s="483"/>
      <c r="E403" s="511"/>
      <c r="F403" s="516"/>
      <c r="G403" s="446"/>
      <c r="H403" s="518"/>
      <c r="I403" s="517"/>
      <c r="J403" s="460"/>
    </row>
    <row r="404" spans="1:10" x14ac:dyDescent="0.25">
      <c r="A404" s="459"/>
      <c r="B404" s="422" t="s">
        <v>1301</v>
      </c>
      <c r="C404" s="445"/>
      <c r="D404" s="483"/>
      <c r="E404" s="511"/>
      <c r="F404" s="516"/>
      <c r="G404" s="446"/>
      <c r="H404" s="518"/>
      <c r="I404" s="517"/>
      <c r="J404" s="460"/>
    </row>
    <row r="405" spans="1:10" x14ac:dyDescent="0.25">
      <c r="A405" s="459"/>
      <c r="B405" s="422" t="s">
        <v>1302</v>
      </c>
      <c r="C405" s="445"/>
      <c r="D405" s="483"/>
      <c r="E405" s="511"/>
      <c r="F405" s="516"/>
      <c r="G405" s="446"/>
      <c r="H405" s="518"/>
      <c r="I405" s="517"/>
      <c r="J405" s="460"/>
    </row>
    <row r="406" spans="1:10" x14ac:dyDescent="0.25">
      <c r="A406" s="459"/>
      <c r="C406" s="445"/>
      <c r="D406" s="494"/>
      <c r="E406" s="511"/>
      <c r="F406" s="516"/>
      <c r="G406" s="517"/>
      <c r="H406" s="518"/>
      <c r="I406" s="517"/>
      <c r="J406" s="460"/>
    </row>
    <row r="407" spans="1:10" x14ac:dyDescent="0.25">
      <c r="A407" s="459" t="s">
        <v>1303</v>
      </c>
      <c r="B407" s="422" t="s">
        <v>1304</v>
      </c>
      <c r="C407" s="445" t="s">
        <v>1305</v>
      </c>
      <c r="D407" s="443" t="s">
        <v>41</v>
      </c>
      <c r="E407" s="511">
        <v>12.92</v>
      </c>
      <c r="F407" s="516">
        <v>2.14</v>
      </c>
      <c r="G407" s="446">
        <f>E407*F407</f>
        <v>27.65</v>
      </c>
      <c r="H407" s="444">
        <f>G407*3.322+G408*3.322</f>
        <v>298.45</v>
      </c>
      <c r="I407" s="446">
        <f>ROUND(H407*1.25,2)</f>
        <v>373.06</v>
      </c>
      <c r="J407" s="446">
        <f>ROUND(H407*1.298,1)</f>
        <v>387.4</v>
      </c>
    </row>
    <row r="408" spans="1:10" x14ac:dyDescent="0.25">
      <c r="A408" s="459"/>
      <c r="B408" s="422" t="s">
        <v>1306</v>
      </c>
      <c r="C408" s="445"/>
      <c r="D408" s="443" t="s">
        <v>42</v>
      </c>
      <c r="E408" s="511">
        <v>14.53</v>
      </c>
      <c r="F408" s="516">
        <v>4.28</v>
      </c>
      <c r="G408" s="446">
        <f>E408*F408</f>
        <v>62.19</v>
      </c>
      <c r="H408" s="518"/>
      <c r="I408" s="517"/>
      <c r="J408" s="460"/>
    </row>
    <row r="409" spans="1:10" x14ac:dyDescent="0.25">
      <c r="A409" s="459"/>
      <c r="B409" s="521" t="s">
        <v>1307</v>
      </c>
      <c r="C409" s="445"/>
      <c r="D409" s="494"/>
      <c r="E409" s="511"/>
      <c r="F409" s="516"/>
      <c r="G409" s="446"/>
      <c r="H409" s="444"/>
      <c r="I409" s="446"/>
      <c r="J409" s="460"/>
    </row>
    <row r="410" spans="1:10" ht="12.75" customHeight="1" x14ac:dyDescent="0.25">
      <c r="A410" s="459"/>
      <c r="B410" s="422" t="s">
        <v>1308</v>
      </c>
      <c r="C410" s="445"/>
      <c r="D410" s="494"/>
      <c r="E410" s="511"/>
      <c r="F410" s="516"/>
      <c r="G410" s="446"/>
      <c r="H410" s="444"/>
      <c r="I410" s="446"/>
      <c r="J410" s="460"/>
    </row>
    <row r="411" spans="1:10" ht="12.75" customHeight="1" x14ac:dyDescent="0.25">
      <c r="A411" s="459"/>
      <c r="C411" s="445"/>
      <c r="D411" s="494"/>
      <c r="E411" s="511"/>
      <c r="F411" s="516"/>
      <c r="G411" s="446"/>
      <c r="H411" s="444"/>
      <c r="I411" s="446"/>
      <c r="J411" s="460"/>
    </row>
    <row r="412" spans="1:10" ht="12.75" customHeight="1" x14ac:dyDescent="0.25">
      <c r="A412" s="459" t="s">
        <v>1309</v>
      </c>
      <c r="B412" s="422" t="s">
        <v>1304</v>
      </c>
      <c r="C412" s="445" t="s">
        <v>1305</v>
      </c>
      <c r="D412" s="443" t="s">
        <v>41</v>
      </c>
      <c r="E412" s="511">
        <v>12.92</v>
      </c>
      <c r="F412" s="516">
        <v>2.33</v>
      </c>
      <c r="G412" s="446">
        <f>E412*F412</f>
        <v>30.1</v>
      </c>
      <c r="H412" s="444">
        <f>G412*3.322+G413*3.322</f>
        <v>325.42</v>
      </c>
      <c r="I412" s="446">
        <f>ROUND(H412*1.25,2)</f>
        <v>406.78</v>
      </c>
      <c r="J412" s="446">
        <f>ROUND(H412*1.298,1)</f>
        <v>422.4</v>
      </c>
    </row>
    <row r="413" spans="1:10" ht="12.75" customHeight="1" x14ac:dyDescent="0.25">
      <c r="A413" s="459"/>
      <c r="B413" s="422" t="s">
        <v>1310</v>
      </c>
      <c r="C413" s="445"/>
      <c r="D413" s="443" t="s">
        <v>42</v>
      </c>
      <c r="E413" s="511">
        <v>14.53</v>
      </c>
      <c r="F413" s="516">
        <v>4.67</v>
      </c>
      <c r="G413" s="446">
        <f>E413*F413</f>
        <v>67.86</v>
      </c>
      <c r="H413" s="444"/>
      <c r="I413" s="446"/>
      <c r="J413" s="460"/>
    </row>
    <row r="414" spans="1:10" ht="12.75" customHeight="1" x14ac:dyDescent="0.25">
      <c r="A414" s="459"/>
      <c r="B414" s="497"/>
      <c r="C414" s="445"/>
      <c r="D414" s="494"/>
      <c r="E414" s="511"/>
      <c r="F414" s="516"/>
      <c r="G414" s="446"/>
      <c r="H414" s="444"/>
      <c r="I414" s="446"/>
      <c r="J414" s="460"/>
    </row>
    <row r="415" spans="1:10" x14ac:dyDescent="0.25">
      <c r="A415" s="467" t="s">
        <v>1311</v>
      </c>
      <c r="B415" s="422" t="s">
        <v>1312</v>
      </c>
      <c r="C415" s="445" t="s">
        <v>925</v>
      </c>
      <c r="D415" s="443" t="s">
        <v>42</v>
      </c>
      <c r="E415" s="511">
        <v>14.53</v>
      </c>
      <c r="F415" s="564">
        <v>4.32</v>
      </c>
      <c r="G415" s="446">
        <f>E415*F415</f>
        <v>62.77</v>
      </c>
      <c r="H415" s="444">
        <f>G415*3.322</f>
        <v>208.52</v>
      </c>
      <c r="I415" s="446">
        <f>ROUND(H415*1.25,2)</f>
        <v>260.64999999999998</v>
      </c>
      <c r="J415" s="446">
        <f>ROUND(H415*1.298,1)</f>
        <v>270.7</v>
      </c>
    </row>
    <row r="416" spans="1:10" x14ac:dyDescent="0.25">
      <c r="A416" s="533"/>
      <c r="B416" s="422" t="s">
        <v>1313</v>
      </c>
      <c r="C416" s="445"/>
      <c r="D416" s="494"/>
      <c r="E416" s="511"/>
      <c r="F416" s="516"/>
      <c r="G416" s="446"/>
      <c r="H416" s="444"/>
      <c r="I416" s="446"/>
      <c r="J416" s="460"/>
    </row>
    <row r="417" spans="1:10" ht="16.5" customHeight="1" x14ac:dyDescent="0.25">
      <c r="A417" s="467"/>
      <c r="B417" s="422" t="s">
        <v>1314</v>
      </c>
      <c r="C417" s="445" t="s">
        <v>45</v>
      </c>
      <c r="D417" s="443" t="s">
        <v>42</v>
      </c>
      <c r="E417" s="511">
        <v>14.53</v>
      </c>
      <c r="F417" s="564">
        <v>5.18</v>
      </c>
      <c r="G417" s="446">
        <f>E417*F417</f>
        <v>75.27</v>
      </c>
      <c r="H417" s="444">
        <f>G417*3.322</f>
        <v>250.05</v>
      </c>
      <c r="I417" s="446">
        <f>ROUND(H417*1.25,2)</f>
        <v>312.56</v>
      </c>
      <c r="J417" s="446">
        <f>ROUND(H417*1.298,1)</f>
        <v>324.60000000000002</v>
      </c>
    </row>
    <row r="418" spans="1:10" ht="15" customHeight="1" x14ac:dyDescent="0.25">
      <c r="A418" s="459"/>
      <c r="B418" s="422" t="s">
        <v>1315</v>
      </c>
      <c r="C418" s="445" t="s">
        <v>45</v>
      </c>
      <c r="D418" s="443" t="s">
        <v>42</v>
      </c>
      <c r="E418" s="511">
        <v>14.53</v>
      </c>
      <c r="F418" s="516">
        <v>6.5</v>
      </c>
      <c r="G418" s="446">
        <f>E418*F418</f>
        <v>94.45</v>
      </c>
      <c r="H418" s="444">
        <f>G418*3.322</f>
        <v>313.76</v>
      </c>
      <c r="I418" s="446">
        <f>ROUND(H418*1.25,2)</f>
        <v>392.2</v>
      </c>
      <c r="J418" s="460"/>
    </row>
    <row r="419" spans="1:10" ht="9" customHeight="1" x14ac:dyDescent="0.25">
      <c r="A419" s="459"/>
      <c r="C419" s="445"/>
      <c r="D419" s="494"/>
      <c r="E419" s="511"/>
      <c r="F419" s="516"/>
      <c r="G419" s="517"/>
      <c r="H419" s="544"/>
      <c r="I419" s="517"/>
      <c r="J419" s="460"/>
    </row>
    <row r="420" spans="1:10" x14ac:dyDescent="0.25">
      <c r="A420" s="459" t="s">
        <v>1316</v>
      </c>
      <c r="B420" s="422" t="s">
        <v>1317</v>
      </c>
      <c r="C420" s="445"/>
      <c r="D420" s="494"/>
      <c r="E420" s="511"/>
      <c r="F420" s="516"/>
      <c r="G420" s="517"/>
      <c r="H420" s="518"/>
      <c r="I420" s="517"/>
      <c r="J420" s="460"/>
    </row>
    <row r="421" spans="1:10" x14ac:dyDescent="0.25">
      <c r="A421" s="459"/>
      <c r="B421" s="422" t="s">
        <v>1318</v>
      </c>
      <c r="C421" s="445" t="s">
        <v>925</v>
      </c>
      <c r="D421" s="443" t="s">
        <v>41</v>
      </c>
      <c r="E421" s="511">
        <v>12.92</v>
      </c>
      <c r="F421" s="516">
        <v>0.14000000000000001</v>
      </c>
      <c r="G421" s="446">
        <f>E421*F421</f>
        <v>1.81</v>
      </c>
      <c r="H421" s="444">
        <f>G421*3.322</f>
        <v>6.01</v>
      </c>
      <c r="I421" s="446">
        <f>ROUND(H421*1.25,2)</f>
        <v>7.51</v>
      </c>
      <c r="J421" s="446">
        <f>ROUND(H421*1.298,1)</f>
        <v>7.8</v>
      </c>
    </row>
    <row r="422" spans="1:10" x14ac:dyDescent="0.25">
      <c r="A422" s="459"/>
      <c r="B422" s="421" t="s">
        <v>1319</v>
      </c>
      <c r="C422" s="445" t="s">
        <v>45</v>
      </c>
      <c r="D422" s="443" t="s">
        <v>41</v>
      </c>
      <c r="E422" s="511">
        <v>12.92</v>
      </c>
      <c r="F422" s="516">
        <v>0.28999999999999998</v>
      </c>
      <c r="G422" s="446">
        <f>E422*F422</f>
        <v>3.75</v>
      </c>
      <c r="H422" s="444">
        <f>G422*3.322</f>
        <v>12.46</v>
      </c>
      <c r="I422" s="446">
        <f>ROUND(H422*1.25,2)</f>
        <v>15.58</v>
      </c>
      <c r="J422" s="446">
        <f>ROUND(H422*1.298,1)</f>
        <v>16.2</v>
      </c>
    </row>
    <row r="423" spans="1:10" x14ac:dyDescent="0.25">
      <c r="A423" s="459"/>
      <c r="B423" s="421" t="s">
        <v>1320</v>
      </c>
      <c r="C423" s="445" t="s">
        <v>45</v>
      </c>
      <c r="D423" s="443" t="s">
        <v>41</v>
      </c>
      <c r="E423" s="511">
        <v>12.92</v>
      </c>
      <c r="F423" s="516">
        <v>0.43</v>
      </c>
      <c r="G423" s="446">
        <f>E423*F423</f>
        <v>5.56</v>
      </c>
      <c r="H423" s="444">
        <f>G423*3.322</f>
        <v>18.47</v>
      </c>
      <c r="I423" s="446">
        <f>ROUND(H423*1.25,2)</f>
        <v>23.09</v>
      </c>
      <c r="J423" s="446"/>
    </row>
    <row r="424" spans="1:10" ht="12.75" customHeight="1" x14ac:dyDescent="0.25">
      <c r="A424" s="459"/>
      <c r="B424" s="422" t="s">
        <v>1321</v>
      </c>
      <c r="C424" s="445" t="s">
        <v>45</v>
      </c>
      <c r="D424" s="443" t="s">
        <v>41</v>
      </c>
      <c r="E424" s="511">
        <v>12.92</v>
      </c>
      <c r="F424" s="516">
        <v>0.65</v>
      </c>
      <c r="G424" s="446">
        <f>E424*F424</f>
        <v>8.4</v>
      </c>
      <c r="H424" s="444">
        <f>G424*3.322</f>
        <v>27.9</v>
      </c>
      <c r="I424" s="446">
        <f>ROUND(H424*1.25,2)</f>
        <v>34.880000000000003</v>
      </c>
      <c r="J424" s="446"/>
    </row>
    <row r="425" spans="1:10" ht="12.75" customHeight="1" x14ac:dyDescent="0.25">
      <c r="A425" s="459"/>
      <c r="C425" s="445"/>
      <c r="D425" s="494"/>
      <c r="E425" s="511"/>
      <c r="F425" s="516"/>
      <c r="G425" s="517"/>
      <c r="H425" s="544"/>
      <c r="I425" s="517"/>
      <c r="J425" s="460"/>
    </row>
    <row r="426" spans="1:10" x14ac:dyDescent="0.25">
      <c r="A426" s="459" t="s">
        <v>1322</v>
      </c>
      <c r="B426" s="430" t="s">
        <v>1323</v>
      </c>
      <c r="C426" s="445" t="s">
        <v>1324</v>
      </c>
      <c r="D426" s="443" t="s">
        <v>41</v>
      </c>
      <c r="E426" s="511">
        <v>12.92</v>
      </c>
      <c r="F426" s="512">
        <v>1.44</v>
      </c>
      <c r="G426" s="446">
        <f>E426*F426</f>
        <v>18.600000000000001</v>
      </c>
      <c r="H426" s="444">
        <f>G426*3.322</f>
        <v>61.79</v>
      </c>
      <c r="I426" s="446">
        <f>ROUND(H426*1.25,2)</f>
        <v>77.239999999999995</v>
      </c>
      <c r="J426" s="446">
        <f>ROUND(H426*1.298,1)</f>
        <v>80.2</v>
      </c>
    </row>
    <row r="427" spans="1:10" x14ac:dyDescent="0.25">
      <c r="A427" s="459"/>
      <c r="B427" s="430" t="s">
        <v>1325</v>
      </c>
      <c r="C427" s="445"/>
      <c r="D427" s="494"/>
      <c r="E427" s="565"/>
      <c r="F427" s="512"/>
      <c r="G427" s="448"/>
      <c r="H427" s="448"/>
      <c r="I427" s="484"/>
      <c r="J427" s="566"/>
    </row>
    <row r="428" spans="1:10" x14ac:dyDescent="0.25">
      <c r="A428" s="459"/>
      <c r="B428" s="430"/>
      <c r="C428" s="445"/>
      <c r="D428" s="494"/>
      <c r="E428" s="565"/>
      <c r="F428" s="512"/>
      <c r="G428" s="448"/>
      <c r="H428" s="484"/>
      <c r="I428" s="484"/>
      <c r="J428" s="566"/>
    </row>
    <row r="429" spans="1:10" x14ac:dyDescent="0.25">
      <c r="A429" s="459" t="s">
        <v>1326</v>
      </c>
      <c r="B429" s="430" t="s">
        <v>1327</v>
      </c>
      <c r="C429" s="445" t="s">
        <v>45</v>
      </c>
      <c r="D429" s="547" t="s">
        <v>1246</v>
      </c>
      <c r="E429" s="567">
        <v>20.9</v>
      </c>
      <c r="F429" s="512">
        <v>0.64</v>
      </c>
      <c r="G429" s="446">
        <f>E429*F429</f>
        <v>13.38</v>
      </c>
      <c r="H429" s="444">
        <f>G429*3.322+G430*3.322</f>
        <v>106.24</v>
      </c>
      <c r="I429" s="446">
        <f>ROUND(H429*1.25,2)</f>
        <v>132.80000000000001</v>
      </c>
      <c r="J429" s="446">
        <f>ROUND(H429*1.298,1)</f>
        <v>137.9</v>
      </c>
    </row>
    <row r="430" spans="1:10" x14ac:dyDescent="0.25">
      <c r="A430" s="459"/>
      <c r="B430" s="430"/>
      <c r="C430" s="445"/>
      <c r="D430" s="443" t="s">
        <v>41</v>
      </c>
      <c r="E430" s="511">
        <v>12.92</v>
      </c>
      <c r="F430" s="512">
        <v>1.44</v>
      </c>
      <c r="G430" s="446">
        <f>E430*F430</f>
        <v>18.600000000000001</v>
      </c>
      <c r="H430" s="448"/>
      <c r="I430" s="484"/>
      <c r="J430" s="566"/>
    </row>
    <row r="431" spans="1:10" ht="18" customHeight="1" x14ac:dyDescent="0.25">
      <c r="A431" s="459" t="s">
        <v>1328</v>
      </c>
      <c r="B431" s="430" t="s">
        <v>1329</v>
      </c>
      <c r="C431" s="445" t="s">
        <v>45</v>
      </c>
      <c r="D431" s="443" t="s">
        <v>41</v>
      </c>
      <c r="E431" s="511">
        <v>12.92</v>
      </c>
      <c r="F431" s="512">
        <v>1.5</v>
      </c>
      <c r="G431" s="446">
        <f>E431*F431</f>
        <v>19.38</v>
      </c>
      <c r="H431" s="448">
        <f>G431*3.322</f>
        <v>64.38</v>
      </c>
      <c r="I431" s="446">
        <f>ROUND(H431*1.25,2)</f>
        <v>80.48</v>
      </c>
      <c r="J431" s="446">
        <f>ROUND(H431*1.298,1)</f>
        <v>83.6</v>
      </c>
    </row>
    <row r="432" spans="1:10" x14ac:dyDescent="0.25">
      <c r="A432" s="459"/>
      <c r="B432" s="430"/>
      <c r="C432" s="445"/>
      <c r="D432" s="494"/>
      <c r="E432" s="565"/>
      <c r="F432" s="512"/>
      <c r="G432" s="448"/>
      <c r="H432" s="448"/>
      <c r="I432" s="484"/>
      <c r="J432" s="566"/>
    </row>
    <row r="433" spans="1:10" x14ac:dyDescent="0.25">
      <c r="A433" s="459" t="s">
        <v>1330</v>
      </c>
      <c r="B433" s="430" t="s">
        <v>1331</v>
      </c>
      <c r="C433" s="445" t="s">
        <v>1332</v>
      </c>
      <c r="D433" s="443" t="s">
        <v>41</v>
      </c>
      <c r="E433" s="511">
        <v>12.92</v>
      </c>
      <c r="F433" s="512">
        <v>0.3</v>
      </c>
      <c r="G433" s="446">
        <f>E433*F433</f>
        <v>3.88</v>
      </c>
      <c r="H433" s="448">
        <f>G433*3.322</f>
        <v>12.89</v>
      </c>
      <c r="I433" s="446">
        <f>ROUND(H433*1.25,2)</f>
        <v>16.11</v>
      </c>
      <c r="J433" s="446">
        <f>ROUND(H433*1.298,1)</f>
        <v>16.7</v>
      </c>
    </row>
    <row r="434" spans="1:10" x14ac:dyDescent="0.25">
      <c r="A434" s="459"/>
      <c r="B434" s="430"/>
      <c r="C434" s="445"/>
      <c r="D434" s="494"/>
      <c r="E434" s="565"/>
      <c r="F434" s="512"/>
      <c r="G434" s="448"/>
      <c r="H434" s="448"/>
      <c r="I434" s="484"/>
      <c r="J434" s="566"/>
    </row>
    <row r="435" spans="1:10" x14ac:dyDescent="0.25">
      <c r="A435" s="459" t="s">
        <v>1333</v>
      </c>
      <c r="B435" s="430" t="s">
        <v>1334</v>
      </c>
      <c r="C435" s="445" t="s">
        <v>1335</v>
      </c>
      <c r="D435" s="443" t="s">
        <v>41</v>
      </c>
      <c r="E435" s="511">
        <v>12.92</v>
      </c>
      <c r="F435" s="512">
        <v>0.5</v>
      </c>
      <c r="G435" s="446">
        <f>E435*F435</f>
        <v>6.46</v>
      </c>
      <c r="H435" s="444">
        <f>G435*3.322+G436*3.322</f>
        <v>45.61</v>
      </c>
      <c r="I435" s="446">
        <f>ROUND(H435*1.25,2)</f>
        <v>57.01</v>
      </c>
      <c r="J435" s="446">
        <f>ROUND(H435*1.298,1)</f>
        <v>59.2</v>
      </c>
    </row>
    <row r="436" spans="1:10" x14ac:dyDescent="0.25">
      <c r="A436" s="459"/>
      <c r="B436" s="430" t="s">
        <v>1336</v>
      </c>
      <c r="C436" s="445" t="s">
        <v>1337</v>
      </c>
      <c r="D436" s="443" t="s">
        <v>42</v>
      </c>
      <c r="E436" s="565">
        <v>14.53</v>
      </c>
      <c r="F436" s="512">
        <v>0.5</v>
      </c>
      <c r="G436" s="446">
        <f>E436*F436</f>
        <v>7.27</v>
      </c>
      <c r="H436" s="448"/>
      <c r="I436" s="484"/>
      <c r="J436" s="566"/>
    </row>
    <row r="437" spans="1:10" x14ac:dyDescent="0.25">
      <c r="A437" s="459"/>
      <c r="B437" s="430"/>
      <c r="C437" s="445"/>
      <c r="D437" s="494"/>
      <c r="E437" s="565"/>
      <c r="F437" s="512"/>
      <c r="G437" s="448"/>
      <c r="H437" s="448"/>
      <c r="I437" s="484"/>
      <c r="J437" s="566"/>
    </row>
    <row r="438" spans="1:10" ht="15.75" customHeight="1" x14ac:dyDescent="0.25">
      <c r="A438" s="459" t="s">
        <v>1338</v>
      </c>
      <c r="B438" s="430" t="s">
        <v>1339</v>
      </c>
      <c r="C438" s="445" t="s">
        <v>1340</v>
      </c>
      <c r="D438" s="443" t="s">
        <v>41</v>
      </c>
      <c r="E438" s="511">
        <v>12.92</v>
      </c>
      <c r="F438" s="512">
        <v>0.36</v>
      </c>
      <c r="G438" s="446">
        <f>E438*F438</f>
        <v>4.6500000000000004</v>
      </c>
      <c r="H438" s="448">
        <f>G438*3.322</f>
        <v>15.45</v>
      </c>
      <c r="I438" s="446">
        <f>ROUND(H438*1.25,2)</f>
        <v>19.309999999999999</v>
      </c>
      <c r="J438" s="446">
        <f>ROUND(H438*1.298,1)</f>
        <v>20.100000000000001</v>
      </c>
    </row>
    <row r="439" spans="1:10" x14ac:dyDescent="0.25">
      <c r="A439" s="459"/>
      <c r="B439" s="430" t="s">
        <v>1341</v>
      </c>
      <c r="C439" s="445"/>
      <c r="D439" s="494"/>
      <c r="E439" s="565"/>
      <c r="F439" s="512"/>
      <c r="G439" s="448"/>
      <c r="H439" s="448"/>
      <c r="I439" s="484"/>
      <c r="J439" s="566"/>
    </row>
    <row r="440" spans="1:10" x14ac:dyDescent="0.25">
      <c r="A440" s="459"/>
      <c r="B440" s="430"/>
      <c r="C440" s="445"/>
      <c r="D440" s="494"/>
      <c r="E440" s="565"/>
      <c r="F440" s="512"/>
      <c r="G440" s="448"/>
      <c r="H440" s="448"/>
      <c r="I440" s="484"/>
      <c r="J440" s="566"/>
    </row>
    <row r="441" spans="1:10" x14ac:dyDescent="0.25">
      <c r="A441" s="459" t="s">
        <v>1342</v>
      </c>
      <c r="B441" s="430" t="s">
        <v>1343</v>
      </c>
      <c r="C441" s="445" t="s">
        <v>1340</v>
      </c>
      <c r="D441" s="443" t="s">
        <v>41</v>
      </c>
      <c r="E441" s="511">
        <v>12.92</v>
      </c>
      <c r="F441" s="512">
        <v>0.36</v>
      </c>
      <c r="G441" s="446">
        <f>E441*F441</f>
        <v>4.6500000000000004</v>
      </c>
      <c r="H441" s="448">
        <f>G441*3.322</f>
        <v>15.45</v>
      </c>
      <c r="I441" s="446">
        <f>ROUND(H441*1.25,2)</f>
        <v>19.309999999999999</v>
      </c>
      <c r="J441" s="446">
        <f>ROUND(H441*1.298,1)</f>
        <v>20.100000000000001</v>
      </c>
    </row>
    <row r="442" spans="1:10" x14ac:dyDescent="0.25">
      <c r="A442" s="459"/>
      <c r="B442" s="430" t="s">
        <v>1344</v>
      </c>
      <c r="C442" s="445"/>
      <c r="D442" s="494"/>
      <c r="E442" s="565"/>
      <c r="F442" s="512"/>
      <c r="G442" s="448"/>
      <c r="H442" s="448"/>
      <c r="I442" s="484"/>
      <c r="J442" s="566"/>
    </row>
    <row r="443" spans="1:10" x14ac:dyDescent="0.25">
      <c r="A443" s="459"/>
      <c r="B443" s="430"/>
      <c r="C443" s="445"/>
      <c r="D443" s="494"/>
      <c r="E443" s="565"/>
      <c r="F443" s="512"/>
      <c r="G443" s="448"/>
      <c r="H443" s="448"/>
      <c r="I443" s="484"/>
      <c r="J443" s="566"/>
    </row>
    <row r="444" spans="1:10" x14ac:dyDescent="0.25">
      <c r="A444" s="459" t="s">
        <v>1345</v>
      </c>
      <c r="B444" s="430" t="s">
        <v>1343</v>
      </c>
      <c r="C444" s="445"/>
      <c r="D444" s="494"/>
      <c r="E444" s="565"/>
      <c r="F444" s="512"/>
      <c r="G444" s="448"/>
      <c r="H444" s="448"/>
      <c r="I444" s="484"/>
      <c r="J444" s="566"/>
    </row>
    <row r="445" spans="1:10" x14ac:dyDescent="0.25">
      <c r="A445" s="459"/>
      <c r="B445" s="430" t="s">
        <v>1346</v>
      </c>
      <c r="C445" s="445"/>
      <c r="D445" s="494"/>
      <c r="E445" s="565"/>
      <c r="F445" s="512"/>
      <c r="G445" s="448"/>
      <c r="H445" s="448"/>
      <c r="I445" s="484"/>
      <c r="J445" s="566"/>
    </row>
    <row r="446" spans="1:10" x14ac:dyDescent="0.25">
      <c r="A446" s="459"/>
      <c r="B446" s="430" t="s">
        <v>1347</v>
      </c>
      <c r="C446" s="445" t="s">
        <v>913</v>
      </c>
      <c r="D446" s="443" t="s">
        <v>41</v>
      </c>
      <c r="E446" s="511">
        <v>12.92</v>
      </c>
      <c r="F446" s="512">
        <v>1.44</v>
      </c>
      <c r="G446" s="446">
        <f>E446*F446</f>
        <v>18.600000000000001</v>
      </c>
      <c r="H446" s="448">
        <f>G446*3.322</f>
        <v>61.79</v>
      </c>
      <c r="I446" s="446">
        <f>ROUND(H446*1.25,2)</f>
        <v>77.239999999999995</v>
      </c>
      <c r="J446" s="446">
        <f>ROUND(H446*1.298,1)</f>
        <v>80.2</v>
      </c>
    </row>
    <row r="447" spans="1:10" x14ac:dyDescent="0.25">
      <c r="A447" s="459"/>
      <c r="B447" s="430"/>
      <c r="C447" s="445"/>
      <c r="D447" s="494"/>
      <c r="E447" s="565"/>
      <c r="F447" s="512"/>
      <c r="G447" s="446"/>
      <c r="H447" s="448"/>
      <c r="I447" s="446"/>
      <c r="J447" s="446"/>
    </row>
    <row r="448" spans="1:10" x14ac:dyDescent="0.25">
      <c r="A448" s="459"/>
      <c r="B448" s="430" t="s">
        <v>1348</v>
      </c>
      <c r="C448" s="445" t="s">
        <v>45</v>
      </c>
      <c r="D448" s="443" t="s">
        <v>41</v>
      </c>
      <c r="E448" s="511">
        <v>12.92</v>
      </c>
      <c r="F448" s="512">
        <v>1.44</v>
      </c>
      <c r="G448" s="446">
        <f>E448*F448</f>
        <v>18.600000000000001</v>
      </c>
      <c r="H448" s="444">
        <f>G448*3.322+G449*3.322</f>
        <v>131.29</v>
      </c>
      <c r="I448" s="446">
        <f>ROUND(H448*1.25,2)</f>
        <v>164.11</v>
      </c>
      <c r="J448" s="446">
        <f>ROUND(H448*1.298,1)</f>
        <v>170.4</v>
      </c>
    </row>
    <row r="449" spans="1:10" x14ac:dyDescent="0.25">
      <c r="A449" s="459"/>
      <c r="B449" s="430"/>
      <c r="C449" s="445"/>
      <c r="D449" s="443" t="s">
        <v>42</v>
      </c>
      <c r="E449" s="565">
        <v>14.53</v>
      </c>
      <c r="F449" s="512">
        <v>1.44</v>
      </c>
      <c r="G449" s="446">
        <f>E449*F449</f>
        <v>20.92</v>
      </c>
      <c r="H449" s="448"/>
      <c r="I449" s="484"/>
      <c r="J449" s="566"/>
    </row>
    <row r="450" spans="1:10" x14ac:dyDescent="0.25">
      <c r="A450" s="459"/>
      <c r="B450" s="430"/>
      <c r="C450" s="445"/>
      <c r="D450" s="494"/>
      <c r="E450" s="565"/>
      <c r="F450" s="512"/>
      <c r="G450" s="448"/>
      <c r="H450" s="448"/>
      <c r="I450" s="484"/>
      <c r="J450" s="566"/>
    </row>
    <row r="451" spans="1:10" x14ac:dyDescent="0.25">
      <c r="A451" s="459" t="s">
        <v>1349</v>
      </c>
      <c r="B451" s="430" t="s">
        <v>1350</v>
      </c>
      <c r="C451" s="445" t="s">
        <v>913</v>
      </c>
      <c r="D451" s="443" t="s">
        <v>41</v>
      </c>
      <c r="E451" s="511">
        <v>12.92</v>
      </c>
      <c r="F451" s="512">
        <v>1.44</v>
      </c>
      <c r="G451" s="446">
        <f>E451*F451</f>
        <v>18.600000000000001</v>
      </c>
      <c r="H451" s="444">
        <f>G451*3.322+G452*3.322</f>
        <v>131.29</v>
      </c>
      <c r="I451" s="446">
        <f>ROUND(H451*1.25,2)</f>
        <v>164.11</v>
      </c>
      <c r="J451" s="446">
        <f>ROUND(H451*1.298,1)</f>
        <v>170.4</v>
      </c>
    </row>
    <row r="452" spans="1:10" x14ac:dyDescent="0.25">
      <c r="A452" s="459"/>
      <c r="B452" s="430" t="s">
        <v>1351</v>
      </c>
      <c r="C452" s="445"/>
      <c r="D452" s="443" t="s">
        <v>42</v>
      </c>
      <c r="E452" s="565">
        <v>14.53</v>
      </c>
      <c r="F452" s="512">
        <v>1.44</v>
      </c>
      <c r="G452" s="446">
        <f>E452*F452</f>
        <v>20.92</v>
      </c>
      <c r="H452" s="448"/>
      <c r="I452" s="484"/>
      <c r="J452" s="566"/>
    </row>
    <row r="453" spans="1:10" x14ac:dyDescent="0.25">
      <c r="A453" s="459"/>
      <c r="B453" s="430"/>
      <c r="C453" s="445"/>
      <c r="D453" s="494"/>
      <c r="E453" s="565"/>
      <c r="F453" s="512"/>
      <c r="G453" s="448"/>
      <c r="H453" s="448"/>
      <c r="I453" s="484"/>
      <c r="J453" s="566"/>
    </row>
    <row r="454" spans="1:10" x14ac:dyDescent="0.25">
      <c r="A454" s="459"/>
      <c r="B454" s="430" t="s">
        <v>1352</v>
      </c>
      <c r="C454" s="445" t="s">
        <v>45</v>
      </c>
      <c r="D454" s="443" t="s">
        <v>42</v>
      </c>
      <c r="E454" s="565">
        <v>14.53</v>
      </c>
      <c r="F454" s="512">
        <v>4.32</v>
      </c>
      <c r="G454" s="446">
        <f>E454*F454</f>
        <v>62.77</v>
      </c>
      <c r="H454" s="448">
        <f>G454*3.322</f>
        <v>208.52</v>
      </c>
      <c r="I454" s="446">
        <f>ROUND(H454*1.25,2)</f>
        <v>260.64999999999998</v>
      </c>
      <c r="J454" s="446">
        <f>ROUND(H454*1.298,1)</f>
        <v>270.7</v>
      </c>
    </row>
    <row r="455" spans="1:10" x14ac:dyDescent="0.25">
      <c r="A455" s="459"/>
      <c r="B455" s="430"/>
      <c r="C455" s="445"/>
      <c r="D455" s="494"/>
      <c r="E455" s="565"/>
      <c r="F455" s="512"/>
      <c r="G455" s="448"/>
      <c r="H455" s="448"/>
      <c r="I455" s="484"/>
      <c r="J455" s="566"/>
    </row>
    <row r="456" spans="1:10" x14ac:dyDescent="0.25">
      <c r="A456" s="459" t="s">
        <v>1353</v>
      </c>
      <c r="B456" s="430" t="s">
        <v>1354</v>
      </c>
      <c r="C456" s="445" t="s">
        <v>915</v>
      </c>
      <c r="D456" s="443" t="s">
        <v>41</v>
      </c>
      <c r="E456" s="511">
        <v>12.92</v>
      </c>
      <c r="F456" s="512">
        <v>0.25</v>
      </c>
      <c r="G456" s="446">
        <f>E456*F456</f>
        <v>3.23</v>
      </c>
      <c r="H456" s="444">
        <f>G456*3.322+G457*3.322</f>
        <v>22.79</v>
      </c>
      <c r="I456" s="446">
        <f>ROUND(H456*1.25,2)</f>
        <v>28.49</v>
      </c>
      <c r="J456" s="446">
        <f>ROUND(H456*1.298,1)</f>
        <v>29.6</v>
      </c>
    </row>
    <row r="457" spans="1:10" x14ac:dyDescent="0.25">
      <c r="A457" s="459"/>
      <c r="B457" s="430"/>
      <c r="C457" s="445"/>
      <c r="D457" s="443" t="s">
        <v>42</v>
      </c>
      <c r="E457" s="565">
        <v>14.53</v>
      </c>
      <c r="F457" s="512">
        <v>0.25</v>
      </c>
      <c r="G457" s="446">
        <f>E457*F457</f>
        <v>3.63</v>
      </c>
      <c r="H457" s="448"/>
      <c r="I457" s="484"/>
      <c r="J457" s="566"/>
    </row>
    <row r="458" spans="1:10" x14ac:dyDescent="0.25">
      <c r="A458" s="459"/>
      <c r="B458" s="430"/>
      <c r="C458" s="445"/>
      <c r="D458" s="494"/>
      <c r="E458" s="565"/>
      <c r="F458" s="512"/>
      <c r="G458" s="448"/>
      <c r="H458" s="448"/>
      <c r="I458" s="484"/>
      <c r="J458" s="566"/>
    </row>
    <row r="459" spans="1:10" x14ac:dyDescent="0.25">
      <c r="A459" s="459" t="s">
        <v>1355</v>
      </c>
      <c r="B459" s="430" t="s">
        <v>1356</v>
      </c>
      <c r="C459" s="445" t="s">
        <v>45</v>
      </c>
      <c r="D459" s="443" t="s">
        <v>42</v>
      </c>
      <c r="E459" s="565">
        <v>14.53</v>
      </c>
      <c r="F459" s="512">
        <v>1.5</v>
      </c>
      <c r="G459" s="446">
        <f>E459*F459</f>
        <v>21.8</v>
      </c>
      <c r="H459" s="448">
        <f>G459*3.322</f>
        <v>72.42</v>
      </c>
      <c r="I459" s="446">
        <f>ROUND(H459*1.25,2)</f>
        <v>90.53</v>
      </c>
      <c r="J459" s="446"/>
    </row>
    <row r="460" spans="1:10" x14ac:dyDescent="0.25">
      <c r="A460" s="459"/>
      <c r="B460" s="430"/>
      <c r="C460" s="445"/>
      <c r="D460" s="494"/>
      <c r="E460" s="565"/>
      <c r="F460" s="512"/>
      <c r="G460" s="448"/>
      <c r="H460" s="448"/>
      <c r="I460" s="484"/>
      <c r="J460" s="566"/>
    </row>
    <row r="461" spans="1:10" x14ac:dyDescent="0.25">
      <c r="A461" s="459" t="s">
        <v>1357</v>
      </c>
      <c r="B461" s="422" t="s">
        <v>1358</v>
      </c>
      <c r="C461" s="445" t="s">
        <v>570</v>
      </c>
      <c r="D461" s="443" t="s">
        <v>41</v>
      </c>
      <c r="E461" s="511">
        <v>12.92</v>
      </c>
      <c r="F461" s="516">
        <v>0.3</v>
      </c>
      <c r="G461" s="446">
        <f>E461*F461</f>
        <v>3.88</v>
      </c>
      <c r="H461" s="448">
        <f>G461*3.322</f>
        <v>12.89</v>
      </c>
      <c r="I461" s="446">
        <f>ROUND(H461*1.25,2)</f>
        <v>16.11</v>
      </c>
      <c r="J461" s="446">
        <f>ROUND(H461*1.298,1)</f>
        <v>16.7</v>
      </c>
    </row>
    <row r="462" spans="1:10" x14ac:dyDescent="0.25">
      <c r="A462" s="459"/>
      <c r="C462" s="445"/>
      <c r="D462" s="494"/>
      <c r="E462" s="511"/>
      <c r="F462" s="516"/>
      <c r="G462" s="517"/>
      <c r="H462" s="448"/>
      <c r="I462" s="484"/>
      <c r="J462" s="566"/>
    </row>
    <row r="463" spans="1:10" x14ac:dyDescent="0.25">
      <c r="A463" s="459" t="s">
        <v>1359</v>
      </c>
      <c r="B463" s="422" t="s">
        <v>1360</v>
      </c>
      <c r="C463" s="445" t="s">
        <v>1275</v>
      </c>
      <c r="D463" s="443" t="s">
        <v>41</v>
      </c>
      <c r="E463" s="511">
        <v>12.92</v>
      </c>
      <c r="F463" s="516">
        <v>0.25</v>
      </c>
      <c r="G463" s="446">
        <f>E463*F463</f>
        <v>3.23</v>
      </c>
      <c r="H463" s="448">
        <f>G463*3.322</f>
        <v>10.73</v>
      </c>
      <c r="I463" s="446">
        <f>ROUND(H463*1.25,2)</f>
        <v>13.41</v>
      </c>
      <c r="J463" s="446">
        <f>ROUND(H463*1.298,1)</f>
        <v>13.9</v>
      </c>
    </row>
    <row r="464" spans="1:10" x14ac:dyDescent="0.25">
      <c r="A464" s="459"/>
      <c r="B464" s="430"/>
      <c r="C464" s="445"/>
      <c r="D464" s="494"/>
      <c r="E464" s="565"/>
      <c r="F464" s="512"/>
      <c r="G464" s="448"/>
      <c r="H464" s="448"/>
      <c r="I464" s="484"/>
      <c r="J464" s="566"/>
    </row>
    <row r="465" spans="1:10" x14ac:dyDescent="0.25">
      <c r="A465" s="459" t="s">
        <v>1361</v>
      </c>
      <c r="B465" s="430" t="s">
        <v>1362</v>
      </c>
      <c r="C465" s="445" t="s">
        <v>928</v>
      </c>
      <c r="D465" s="443" t="s">
        <v>41</v>
      </c>
      <c r="E465" s="511">
        <v>12.92</v>
      </c>
      <c r="F465" s="512">
        <v>1</v>
      </c>
      <c r="G465" s="446">
        <f>E465*F465</f>
        <v>12.92</v>
      </c>
      <c r="H465" s="448">
        <f>G465*3.322</f>
        <v>42.92</v>
      </c>
      <c r="I465" s="446">
        <f>ROUND(H465*1.25,2)</f>
        <v>53.65</v>
      </c>
      <c r="J465" s="446">
        <f>ROUND(H465*1.298,1)</f>
        <v>55.7</v>
      </c>
    </row>
    <row r="466" spans="1:10" x14ac:dyDescent="0.25">
      <c r="A466" s="459"/>
      <c r="B466" s="430" t="s">
        <v>1363</v>
      </c>
      <c r="C466" s="445"/>
      <c r="D466" s="483"/>
      <c r="E466" s="565"/>
      <c r="F466" s="512"/>
      <c r="G466" s="448"/>
      <c r="H466" s="448"/>
      <c r="I466" s="484"/>
      <c r="J466" s="446"/>
    </row>
    <row r="467" spans="1:10" x14ac:dyDescent="0.25">
      <c r="A467" s="459"/>
      <c r="B467" s="430"/>
      <c r="C467" s="445"/>
      <c r="D467" s="483"/>
      <c r="E467" s="565"/>
      <c r="F467" s="512"/>
      <c r="G467" s="448"/>
      <c r="H467" s="448"/>
      <c r="I467" s="484"/>
      <c r="J467" s="446"/>
    </row>
    <row r="468" spans="1:10" x14ac:dyDescent="0.25">
      <c r="A468" s="459" t="s">
        <v>1364</v>
      </c>
      <c r="B468" s="430" t="s">
        <v>1362</v>
      </c>
      <c r="C468" s="445" t="s">
        <v>45</v>
      </c>
      <c r="D468" s="443" t="s">
        <v>41</v>
      </c>
      <c r="E468" s="511">
        <v>12.92</v>
      </c>
      <c r="F468" s="512">
        <v>2</v>
      </c>
      <c r="G468" s="446">
        <f>E468*F468</f>
        <v>25.84</v>
      </c>
      <c r="H468" s="448">
        <f>G468*3.322</f>
        <v>85.84</v>
      </c>
      <c r="I468" s="446">
        <f>ROUND(H468*1.25,2)</f>
        <v>107.3</v>
      </c>
      <c r="J468" s="446">
        <f>ROUND(H468*1.298,1)</f>
        <v>111.4</v>
      </c>
    </row>
    <row r="469" spans="1:10" x14ac:dyDescent="0.25">
      <c r="A469" s="459"/>
      <c r="B469" s="430" t="s">
        <v>1365</v>
      </c>
      <c r="C469" s="445"/>
      <c r="D469" s="483"/>
      <c r="E469" s="565"/>
      <c r="F469" s="512"/>
      <c r="G469" s="448"/>
      <c r="H469" s="448"/>
      <c r="I469" s="484"/>
      <c r="J469" s="446"/>
    </row>
    <row r="470" spans="1:10" x14ac:dyDescent="0.25">
      <c r="A470" s="459"/>
      <c r="B470" s="430"/>
      <c r="C470" s="445"/>
      <c r="D470" s="483"/>
      <c r="E470" s="565"/>
      <c r="F470" s="512"/>
      <c r="G470" s="448"/>
      <c r="H470" s="448"/>
      <c r="I470" s="484"/>
      <c r="J470" s="446"/>
    </row>
    <row r="471" spans="1:10" x14ac:dyDescent="0.25">
      <c r="A471" s="459" t="s">
        <v>1366</v>
      </c>
      <c r="B471" s="430" t="s">
        <v>1362</v>
      </c>
      <c r="C471" s="445" t="s">
        <v>45</v>
      </c>
      <c r="D471" s="443" t="s">
        <v>41</v>
      </c>
      <c r="E471" s="511">
        <v>12.92</v>
      </c>
      <c r="F471" s="512">
        <v>4</v>
      </c>
      <c r="G471" s="446">
        <f>E471*F471</f>
        <v>51.68</v>
      </c>
      <c r="H471" s="448">
        <f>G471*3.322</f>
        <v>171.68</v>
      </c>
      <c r="I471" s="446">
        <f>ROUND(H471*1.25,2)</f>
        <v>214.6</v>
      </c>
      <c r="J471" s="446">
        <f>ROUND(H471*1.298,1)</f>
        <v>222.8</v>
      </c>
    </row>
    <row r="472" spans="1:10" x14ac:dyDescent="0.25">
      <c r="A472" s="459"/>
      <c r="B472" s="430" t="s">
        <v>1367</v>
      </c>
      <c r="C472" s="445"/>
      <c r="D472" s="483"/>
      <c r="E472" s="565"/>
      <c r="F472" s="512"/>
      <c r="G472" s="448"/>
      <c r="H472" s="448"/>
      <c r="I472" s="484"/>
      <c r="J472" s="446"/>
    </row>
    <row r="473" spans="1:10" x14ac:dyDescent="0.25">
      <c r="A473" s="459"/>
      <c r="B473" s="430"/>
      <c r="C473" s="482"/>
      <c r="D473" s="483"/>
      <c r="E473" s="485"/>
      <c r="F473" s="486"/>
      <c r="G473" s="484"/>
      <c r="H473" s="484"/>
      <c r="I473" s="484"/>
      <c r="J473" s="448"/>
    </row>
    <row r="474" spans="1:10" x14ac:dyDescent="0.25">
      <c r="A474" s="459"/>
      <c r="B474" s="473" t="s">
        <v>1368</v>
      </c>
      <c r="C474" s="482"/>
      <c r="D474" s="483"/>
      <c r="E474" s="485"/>
      <c r="F474" s="568"/>
      <c r="G474" s="484"/>
      <c r="H474" s="484"/>
      <c r="I474" s="484"/>
      <c r="J474" s="448"/>
    </row>
    <row r="475" spans="1:10" x14ac:dyDescent="0.25">
      <c r="A475" s="459"/>
      <c r="B475" s="520" t="s">
        <v>1369</v>
      </c>
      <c r="C475" s="569"/>
      <c r="D475" s="523"/>
      <c r="E475" s="570"/>
      <c r="F475" s="486"/>
      <c r="J475" s="460"/>
    </row>
    <row r="476" spans="1:10" x14ac:dyDescent="0.25">
      <c r="A476" s="459"/>
      <c r="B476" s="422" t="s">
        <v>1370</v>
      </c>
      <c r="E476" s="423"/>
      <c r="F476" s="423"/>
      <c r="I476" s="484"/>
      <c r="J476" s="448"/>
    </row>
    <row r="477" spans="1:10" x14ac:dyDescent="0.25">
      <c r="A477" s="503"/>
      <c r="B477" s="488"/>
      <c r="C477" s="504"/>
      <c r="D477" s="505"/>
      <c r="E477" s="537"/>
      <c r="F477" s="538"/>
      <c r="G477" s="455"/>
      <c r="H477" s="455"/>
      <c r="I477" s="455"/>
      <c r="J477" s="571"/>
    </row>
    <row r="478" spans="1:10" ht="12.75" customHeight="1" x14ac:dyDescent="0.25">
      <c r="A478" s="539"/>
      <c r="B478" s="430"/>
      <c r="C478" s="482"/>
      <c r="D478" s="483"/>
      <c r="E478" s="485"/>
      <c r="F478" s="486"/>
      <c r="G478" s="518"/>
      <c r="H478" s="518"/>
      <c r="I478" s="518"/>
      <c r="J478" s="430"/>
    </row>
    <row r="479" spans="1:10" ht="24" customHeight="1" x14ac:dyDescent="0.25">
      <c r="A479" s="424" t="s">
        <v>1371</v>
      </c>
      <c r="B479" s="491"/>
      <c r="C479" s="491"/>
      <c r="D479" s="540"/>
      <c r="E479" s="541"/>
      <c r="F479" s="542"/>
      <c r="G479" s="526"/>
      <c r="H479" s="526"/>
      <c r="I479" s="526"/>
      <c r="J479" s="491"/>
    </row>
    <row r="480" spans="1:10" ht="15.75" customHeight="1" x14ac:dyDescent="0.25"/>
    <row r="481" spans="1:10" x14ac:dyDescent="0.25">
      <c r="A481" s="432" t="s">
        <v>273</v>
      </c>
      <c r="B481" s="433"/>
      <c r="C481" s="434" t="s">
        <v>274</v>
      </c>
      <c r="D481" s="435" t="s">
        <v>275</v>
      </c>
      <c r="E481" s="436" t="s">
        <v>276</v>
      </c>
      <c r="F481" s="437" t="s">
        <v>277</v>
      </c>
      <c r="G481" s="436" t="s">
        <v>278</v>
      </c>
      <c r="H481" s="438" t="s">
        <v>279</v>
      </c>
      <c r="I481" s="439" t="s">
        <v>378</v>
      </c>
      <c r="J481" s="440"/>
    </row>
    <row r="482" spans="1:10" x14ac:dyDescent="0.25">
      <c r="A482" s="441" t="s">
        <v>280</v>
      </c>
      <c r="B482" s="428"/>
      <c r="C482" s="442" t="s">
        <v>23</v>
      </c>
      <c r="D482" s="443" t="s">
        <v>281</v>
      </c>
      <c r="E482" s="444" t="s">
        <v>25</v>
      </c>
      <c r="F482" s="445" t="s">
        <v>26</v>
      </c>
      <c r="G482" s="444" t="s">
        <v>27</v>
      </c>
      <c r="H482" s="446" t="s">
        <v>282</v>
      </c>
      <c r="I482" s="438" t="s">
        <v>283</v>
      </c>
      <c r="J482" s="447" t="s">
        <v>284</v>
      </c>
    </row>
    <row r="483" spans="1:10" x14ac:dyDescent="0.25">
      <c r="A483" s="441"/>
      <c r="B483" s="428"/>
      <c r="C483" s="442"/>
      <c r="D483" s="443" t="s">
        <v>31</v>
      </c>
      <c r="E483" s="444" t="s">
        <v>32</v>
      </c>
      <c r="F483" s="445" t="s">
        <v>285</v>
      </c>
      <c r="G483" s="444" t="s">
        <v>34</v>
      </c>
      <c r="H483" s="446" t="s">
        <v>32</v>
      </c>
      <c r="I483" s="446" t="s">
        <v>286</v>
      </c>
      <c r="J483" s="448" t="s">
        <v>287</v>
      </c>
    </row>
    <row r="484" spans="1:10" x14ac:dyDescent="0.25">
      <c r="A484" s="449"/>
      <c r="B484" s="450"/>
      <c r="C484" s="451"/>
      <c r="D484" s="452"/>
      <c r="E484" s="453"/>
      <c r="F484" s="454" t="s">
        <v>36</v>
      </c>
      <c r="G484" s="455" t="s">
        <v>32</v>
      </c>
      <c r="H484" s="456"/>
      <c r="I484" s="457" t="s">
        <v>288</v>
      </c>
      <c r="J484" s="458" t="s">
        <v>289</v>
      </c>
    </row>
    <row r="485" spans="1:10" ht="21" customHeight="1" x14ac:dyDescent="0.25">
      <c r="A485" s="480" t="s">
        <v>1372</v>
      </c>
      <c r="B485" s="422" t="s">
        <v>1373</v>
      </c>
      <c r="C485" s="445" t="s">
        <v>1374</v>
      </c>
      <c r="D485" s="443" t="s">
        <v>1042</v>
      </c>
      <c r="E485" s="512">
        <v>27.6</v>
      </c>
      <c r="F485" s="516">
        <v>4</v>
      </c>
      <c r="G485" s="446">
        <f>E485*F485</f>
        <v>110.4</v>
      </c>
      <c r="H485" s="444">
        <f>G485*3.322+G486*3.322</f>
        <v>1014.54</v>
      </c>
      <c r="I485" s="446">
        <f>ROUND(H485*1.25,2)</f>
        <v>1268.18</v>
      </c>
      <c r="J485" s="460"/>
    </row>
    <row r="486" spans="1:10" x14ac:dyDescent="0.25">
      <c r="A486" s="480"/>
      <c r="B486" s="422" t="s">
        <v>1375</v>
      </c>
      <c r="C486" s="445"/>
      <c r="D486" s="443" t="s">
        <v>1376</v>
      </c>
      <c r="E486" s="512">
        <v>32.5</v>
      </c>
      <c r="F486" s="516">
        <v>6</v>
      </c>
      <c r="G486" s="446">
        <f>E486*F486</f>
        <v>195</v>
      </c>
      <c r="H486" s="444"/>
      <c r="I486" s="446"/>
      <c r="J486" s="460"/>
    </row>
    <row r="487" spans="1:10" ht="17.25" customHeight="1" x14ac:dyDescent="0.25">
      <c r="A487" s="480" t="s">
        <v>1377</v>
      </c>
      <c r="B487" s="422" t="s">
        <v>1378</v>
      </c>
      <c r="C487" s="445" t="s">
        <v>1058</v>
      </c>
      <c r="D487" s="494" t="s">
        <v>1042</v>
      </c>
      <c r="E487" s="512">
        <v>27.6</v>
      </c>
      <c r="F487" s="516">
        <v>8</v>
      </c>
      <c r="G487" s="446">
        <f>E487*F487</f>
        <v>220.8</v>
      </c>
      <c r="H487" s="444">
        <f>G487*3.322</f>
        <v>733.5</v>
      </c>
      <c r="I487" s="446">
        <f>ROUND(H487*1.25,2)</f>
        <v>916.88</v>
      </c>
      <c r="J487" s="460"/>
    </row>
    <row r="488" spans="1:10" ht="18" customHeight="1" x14ac:dyDescent="0.25">
      <c r="A488" s="480" t="s">
        <v>1379</v>
      </c>
      <c r="B488" s="422" t="s">
        <v>1380</v>
      </c>
      <c r="C488" s="445" t="s">
        <v>45</v>
      </c>
      <c r="D488" s="443" t="s">
        <v>1042</v>
      </c>
      <c r="E488" s="512">
        <v>27.6</v>
      </c>
      <c r="F488" s="516">
        <v>2</v>
      </c>
      <c r="G488" s="446">
        <f>E488*F488</f>
        <v>55.2</v>
      </c>
      <c r="H488" s="444">
        <f>G488*3.322</f>
        <v>183.37</v>
      </c>
      <c r="I488" s="446">
        <f>ROUND(H488*1.25,2)</f>
        <v>229.21</v>
      </c>
      <c r="J488" s="460"/>
    </row>
    <row r="489" spans="1:10" ht="17.25" customHeight="1" x14ac:dyDescent="0.25">
      <c r="A489" s="510" t="s">
        <v>1381</v>
      </c>
      <c r="B489" s="422" t="s">
        <v>1382</v>
      </c>
      <c r="C489" s="445" t="s">
        <v>45</v>
      </c>
      <c r="D489" s="443" t="s">
        <v>1042</v>
      </c>
      <c r="E489" s="512">
        <v>27.6</v>
      </c>
      <c r="F489" s="516">
        <v>8</v>
      </c>
      <c r="G489" s="446">
        <f>E489*F489</f>
        <v>220.8</v>
      </c>
      <c r="H489" s="444">
        <f>G489*3.322</f>
        <v>733.5</v>
      </c>
      <c r="I489" s="446">
        <f>ROUND(H489*1.25,2)</f>
        <v>916.88</v>
      </c>
      <c r="J489" s="460"/>
    </row>
    <row r="490" spans="1:10" x14ac:dyDescent="0.25">
      <c r="A490" s="480"/>
      <c r="B490" s="422" t="s">
        <v>1383</v>
      </c>
      <c r="C490" s="445"/>
      <c r="D490" s="494"/>
      <c r="E490" s="512"/>
      <c r="F490" s="516"/>
      <c r="G490" s="517"/>
      <c r="H490" s="518"/>
      <c r="I490" s="517"/>
      <c r="J490" s="460"/>
    </row>
    <row r="491" spans="1:10" ht="18.75" customHeight="1" x14ac:dyDescent="0.25">
      <c r="A491" s="510" t="s">
        <v>1384</v>
      </c>
      <c r="B491" s="422" t="s">
        <v>1385</v>
      </c>
      <c r="C491" s="445" t="s">
        <v>45</v>
      </c>
      <c r="D491" s="494" t="s">
        <v>1042</v>
      </c>
      <c r="E491" s="512">
        <v>27.6</v>
      </c>
      <c r="F491" s="516">
        <v>4</v>
      </c>
      <c r="G491" s="446">
        <f>E491*F491</f>
        <v>110.4</v>
      </c>
      <c r="H491" s="444">
        <f>G491*3.322</f>
        <v>366.75</v>
      </c>
      <c r="I491" s="446">
        <f>ROUND(H491*1.25,2)</f>
        <v>458.44</v>
      </c>
      <c r="J491" s="460"/>
    </row>
    <row r="492" spans="1:10" x14ac:dyDescent="0.25">
      <c r="A492" s="480"/>
      <c r="B492" s="422" t="s">
        <v>1386</v>
      </c>
      <c r="C492" s="445"/>
      <c r="D492" s="443"/>
      <c r="E492" s="512"/>
      <c r="F492" s="516"/>
      <c r="G492" s="446"/>
      <c r="H492" s="444"/>
      <c r="I492" s="446"/>
      <c r="J492" s="460"/>
    </row>
    <row r="493" spans="1:10" ht="18" customHeight="1" x14ac:dyDescent="0.25">
      <c r="A493" s="480" t="s">
        <v>1387</v>
      </c>
      <c r="B493" s="422" t="s">
        <v>1388</v>
      </c>
      <c r="C493" s="445" t="s">
        <v>45</v>
      </c>
      <c r="D493" s="494" t="s">
        <v>1042</v>
      </c>
      <c r="E493" s="512">
        <v>27.6</v>
      </c>
      <c r="F493" s="516">
        <v>2</v>
      </c>
      <c r="G493" s="446">
        <f>E493*F493</f>
        <v>55.2</v>
      </c>
      <c r="H493" s="444">
        <f>G493*3.322</f>
        <v>183.37</v>
      </c>
      <c r="I493" s="446">
        <f>ROUND(H493*1.25,2)</f>
        <v>229.21</v>
      </c>
      <c r="J493" s="460"/>
    </row>
    <row r="494" spans="1:10" x14ac:dyDescent="0.25">
      <c r="A494" s="480"/>
      <c r="B494" s="422" t="s">
        <v>1389</v>
      </c>
      <c r="C494" s="445"/>
      <c r="D494" s="494"/>
      <c r="E494" s="512"/>
      <c r="F494" s="516"/>
      <c r="G494" s="446"/>
      <c r="H494" s="444"/>
      <c r="I494" s="446"/>
      <c r="J494" s="460"/>
    </row>
    <row r="495" spans="1:10" ht="18" customHeight="1" x14ac:dyDescent="0.25">
      <c r="A495" s="480" t="s">
        <v>1390</v>
      </c>
      <c r="B495" s="422" t="s">
        <v>1391</v>
      </c>
      <c r="C495" s="445" t="s">
        <v>45</v>
      </c>
      <c r="D495" s="443" t="s">
        <v>1042</v>
      </c>
      <c r="E495" s="512">
        <v>27.6</v>
      </c>
      <c r="F495" s="516">
        <v>2</v>
      </c>
      <c r="G495" s="446">
        <f t="shared" ref="G495:G505" si="12">E495*F495</f>
        <v>55.2</v>
      </c>
      <c r="H495" s="444">
        <f>G495*3.322</f>
        <v>183.37</v>
      </c>
      <c r="I495" s="446">
        <f>ROUND(H495*1.25,2)</f>
        <v>229.21</v>
      </c>
      <c r="J495" s="460"/>
    </row>
    <row r="496" spans="1:10" ht="17.25" customHeight="1" x14ac:dyDescent="0.25">
      <c r="A496" s="480" t="s">
        <v>1392</v>
      </c>
      <c r="B496" s="422" t="s">
        <v>1393</v>
      </c>
      <c r="C496" s="445" t="s">
        <v>990</v>
      </c>
      <c r="D496" s="494" t="s">
        <v>1042</v>
      </c>
      <c r="E496" s="512">
        <v>27.6</v>
      </c>
      <c r="F496" s="516">
        <v>7</v>
      </c>
      <c r="G496" s="446">
        <f t="shared" si="12"/>
        <v>193.2</v>
      </c>
      <c r="H496" s="444">
        <f>G496*3.322+G497*3.322+G498*3.322+G499*3.322</f>
        <v>1993.03</v>
      </c>
      <c r="I496" s="446">
        <f>ROUND(H496*1.25,2)</f>
        <v>2491.29</v>
      </c>
      <c r="J496" s="460"/>
    </row>
    <row r="497" spans="1:10" x14ac:dyDescent="0.25">
      <c r="A497" s="480"/>
      <c r="C497" s="445"/>
      <c r="D497" s="494" t="s">
        <v>42</v>
      </c>
      <c r="E497" s="512">
        <v>14.53</v>
      </c>
      <c r="F497" s="516">
        <v>24</v>
      </c>
      <c r="G497" s="446">
        <f t="shared" si="12"/>
        <v>348.72</v>
      </c>
      <c r="H497" s="444"/>
      <c r="I497" s="446"/>
      <c r="J497" s="460"/>
    </row>
    <row r="498" spans="1:10" x14ac:dyDescent="0.25">
      <c r="A498" s="480"/>
      <c r="C498" s="445"/>
      <c r="D498" s="547" t="s">
        <v>1394</v>
      </c>
      <c r="E498" s="512">
        <v>16.579999999999998</v>
      </c>
      <c r="F498" s="516">
        <v>2.5</v>
      </c>
      <c r="G498" s="446">
        <f t="shared" si="12"/>
        <v>41.45</v>
      </c>
      <c r="H498" s="444"/>
      <c r="I498" s="446"/>
      <c r="J498" s="460"/>
    </row>
    <row r="499" spans="1:10" x14ac:dyDescent="0.25">
      <c r="A499" s="480"/>
      <c r="C499" s="445"/>
      <c r="D499" s="547" t="s">
        <v>1395</v>
      </c>
      <c r="E499" s="512">
        <v>16.579999999999998</v>
      </c>
      <c r="F499" s="516">
        <v>1</v>
      </c>
      <c r="G499" s="446">
        <f t="shared" si="12"/>
        <v>16.579999999999998</v>
      </c>
      <c r="H499" s="444"/>
      <c r="I499" s="446"/>
      <c r="J499" s="460"/>
    </row>
    <row r="500" spans="1:10" ht="18" customHeight="1" x14ac:dyDescent="0.25">
      <c r="A500" s="480" t="s">
        <v>1396</v>
      </c>
      <c r="B500" s="422" t="s">
        <v>1397</v>
      </c>
      <c r="C500" s="445" t="s">
        <v>1058</v>
      </c>
      <c r="D500" s="443" t="s">
        <v>1042</v>
      </c>
      <c r="E500" s="512">
        <v>27.6</v>
      </c>
      <c r="F500" s="516">
        <v>4</v>
      </c>
      <c r="G500" s="446">
        <f t="shared" si="12"/>
        <v>110.4</v>
      </c>
      <c r="H500" s="444">
        <f>G500*3.322</f>
        <v>366.75</v>
      </c>
      <c r="I500" s="446">
        <f>ROUND(H500*1.25,2)</f>
        <v>458.44</v>
      </c>
      <c r="J500" s="460"/>
    </row>
    <row r="501" spans="1:10" ht="18" customHeight="1" x14ac:dyDescent="0.25">
      <c r="A501" s="480" t="s">
        <v>1398</v>
      </c>
      <c r="B501" s="422" t="s">
        <v>1399</v>
      </c>
      <c r="C501" s="445" t="s">
        <v>45</v>
      </c>
      <c r="D501" s="494" t="s">
        <v>1042</v>
      </c>
      <c r="E501" s="512">
        <v>27.6</v>
      </c>
      <c r="F501" s="516">
        <v>1</v>
      </c>
      <c r="G501" s="446">
        <f t="shared" si="12"/>
        <v>27.6</v>
      </c>
      <c r="H501" s="444">
        <f>G501*3.322</f>
        <v>91.69</v>
      </c>
      <c r="I501" s="446">
        <f>ROUND(H501*1.25,2)</f>
        <v>114.61</v>
      </c>
      <c r="J501" s="460"/>
    </row>
    <row r="502" spans="1:10" ht="18" customHeight="1" x14ac:dyDescent="0.25">
      <c r="A502" s="480" t="s">
        <v>1400</v>
      </c>
      <c r="B502" s="422" t="s">
        <v>1401</v>
      </c>
      <c r="C502" s="445" t="s">
        <v>45</v>
      </c>
      <c r="D502" s="443" t="s">
        <v>1042</v>
      </c>
      <c r="E502" s="512">
        <v>27.6</v>
      </c>
      <c r="F502" s="516">
        <v>2</v>
      </c>
      <c r="G502" s="446">
        <f t="shared" si="12"/>
        <v>55.2</v>
      </c>
      <c r="H502" s="444">
        <f>G502*3.322</f>
        <v>183.37</v>
      </c>
      <c r="I502" s="446">
        <f>ROUND(H502*1.25,2)</f>
        <v>229.21</v>
      </c>
      <c r="J502" s="460"/>
    </row>
    <row r="503" spans="1:10" ht="18" customHeight="1" x14ac:dyDescent="0.25">
      <c r="A503" s="480" t="s">
        <v>1402</v>
      </c>
      <c r="B503" s="422" t="s">
        <v>1403</v>
      </c>
      <c r="C503" s="445" t="s">
        <v>45</v>
      </c>
      <c r="D503" s="494" t="s">
        <v>1042</v>
      </c>
      <c r="E503" s="512">
        <v>27.6</v>
      </c>
      <c r="F503" s="516">
        <v>2</v>
      </c>
      <c r="G503" s="446">
        <f t="shared" si="12"/>
        <v>55.2</v>
      </c>
      <c r="H503" s="444">
        <f>G503*3.322</f>
        <v>183.37</v>
      </c>
      <c r="I503" s="446">
        <f>ROUND(H503*1.25,2)</f>
        <v>229.21</v>
      </c>
      <c r="J503" s="460"/>
    </row>
    <row r="504" spans="1:10" ht="18" customHeight="1" x14ac:dyDescent="0.25">
      <c r="A504" s="480" t="s">
        <v>1404</v>
      </c>
      <c r="B504" s="422" t="s">
        <v>1405</v>
      </c>
      <c r="C504" s="445" t="s">
        <v>45</v>
      </c>
      <c r="D504" s="443" t="s">
        <v>1042</v>
      </c>
      <c r="E504" s="512">
        <v>27.6</v>
      </c>
      <c r="F504" s="516">
        <v>10</v>
      </c>
      <c r="G504" s="446">
        <f t="shared" si="12"/>
        <v>276</v>
      </c>
      <c r="H504" s="444">
        <f>G504*3.322+G505*3.322</f>
        <v>1996.52</v>
      </c>
      <c r="I504" s="446">
        <f>ROUND(H504*1.25,2)</f>
        <v>2495.65</v>
      </c>
      <c r="J504" s="460"/>
    </row>
    <row r="505" spans="1:10" x14ac:dyDescent="0.25">
      <c r="A505" s="480"/>
      <c r="B505" s="422" t="s">
        <v>1406</v>
      </c>
      <c r="C505" s="445"/>
      <c r="D505" s="483" t="s">
        <v>1376</v>
      </c>
      <c r="E505" s="512">
        <v>32.5</v>
      </c>
      <c r="F505" s="516">
        <v>10</v>
      </c>
      <c r="G505" s="446">
        <f t="shared" si="12"/>
        <v>325</v>
      </c>
      <c r="H505" s="444"/>
      <c r="I505" s="446"/>
      <c r="J505" s="460"/>
    </row>
    <row r="506" spans="1:10" x14ac:dyDescent="0.25">
      <c r="A506" s="480"/>
      <c r="B506" s="422" t="s">
        <v>1407</v>
      </c>
      <c r="C506" s="445"/>
      <c r="D506" s="494"/>
      <c r="E506" s="512"/>
      <c r="F506" s="516"/>
      <c r="G506" s="446"/>
      <c r="H506" s="444"/>
      <c r="I506" s="446"/>
      <c r="J506" s="460"/>
    </row>
    <row r="507" spans="1:10" ht="18.75" customHeight="1" x14ac:dyDescent="0.25">
      <c r="A507" s="480" t="s">
        <v>1408</v>
      </c>
      <c r="B507" s="422" t="s">
        <v>1409</v>
      </c>
      <c r="C507" s="445" t="s">
        <v>45</v>
      </c>
      <c r="D507" s="443" t="s">
        <v>1042</v>
      </c>
      <c r="E507" s="512">
        <v>27.6</v>
      </c>
      <c r="F507" s="516">
        <v>10</v>
      </c>
      <c r="G507" s="446">
        <f>E507*F507</f>
        <v>276</v>
      </c>
      <c r="H507" s="444">
        <f>G507*3.322+G508*3.322</f>
        <v>1996.52</v>
      </c>
      <c r="I507" s="446">
        <f>ROUND(H507*1.25,2)</f>
        <v>2495.65</v>
      </c>
      <c r="J507" s="460"/>
    </row>
    <row r="508" spans="1:10" x14ac:dyDescent="0.25">
      <c r="A508" s="480"/>
      <c r="C508" s="445"/>
      <c r="D508" s="443" t="s">
        <v>1376</v>
      </c>
      <c r="E508" s="512">
        <v>32.5</v>
      </c>
      <c r="F508" s="516">
        <v>10</v>
      </c>
      <c r="G508" s="446">
        <f>E508*F508</f>
        <v>325</v>
      </c>
      <c r="H508" s="444"/>
      <c r="I508" s="446"/>
      <c r="J508" s="460"/>
    </row>
    <row r="509" spans="1:10" ht="18.75" customHeight="1" x14ac:dyDescent="0.25">
      <c r="A509" s="480" t="s">
        <v>1410</v>
      </c>
      <c r="B509" s="422" t="s">
        <v>1411</v>
      </c>
      <c r="C509" s="445" t="s">
        <v>1412</v>
      </c>
      <c r="D509" s="483" t="s">
        <v>1413</v>
      </c>
      <c r="E509" s="512">
        <v>27.6</v>
      </c>
      <c r="F509" s="516">
        <v>10</v>
      </c>
      <c r="G509" s="446">
        <f>E509*F509</f>
        <v>276</v>
      </c>
      <c r="H509" s="444">
        <f>G509*3.322+G510*3.322</f>
        <v>2536.35</v>
      </c>
      <c r="I509" s="446">
        <f>ROUND(H509*1.25,2)</f>
        <v>3170.44</v>
      </c>
      <c r="J509" s="460"/>
    </row>
    <row r="510" spans="1:10" x14ac:dyDescent="0.25">
      <c r="A510" s="480"/>
      <c r="B510" s="422" t="s">
        <v>1414</v>
      </c>
      <c r="C510" s="445"/>
      <c r="D510" s="494" t="s">
        <v>1376</v>
      </c>
      <c r="E510" s="512">
        <v>32.5</v>
      </c>
      <c r="F510" s="516">
        <v>15</v>
      </c>
      <c r="G510" s="446">
        <f>E510*F510</f>
        <v>487.5</v>
      </c>
      <c r="H510" s="444"/>
      <c r="I510" s="446"/>
      <c r="J510" s="460"/>
    </row>
    <row r="511" spans="1:10" x14ac:dyDescent="0.25">
      <c r="A511" s="480"/>
      <c r="B511" s="422" t="s">
        <v>1415</v>
      </c>
      <c r="C511" s="445"/>
      <c r="D511" s="494"/>
      <c r="E511" s="512"/>
      <c r="F511" s="516"/>
      <c r="G511" s="517"/>
      <c r="H511" s="518"/>
      <c r="I511" s="517"/>
      <c r="J511" s="460"/>
    </row>
    <row r="512" spans="1:10" ht="9" customHeight="1" x14ac:dyDescent="0.25">
      <c r="A512" s="572"/>
      <c r="B512" s="488"/>
      <c r="C512" s="454"/>
      <c r="D512" s="452"/>
      <c r="E512" s="573"/>
      <c r="F512" s="525"/>
      <c r="G512" s="457"/>
      <c r="H512" s="455"/>
      <c r="I512" s="457"/>
      <c r="J512" s="451"/>
    </row>
    <row r="514" spans="9:9" x14ac:dyDescent="0.25">
      <c r="I514" s="574">
        <f>SUM(I485:I509)+I496*2</f>
        <v>20915.09</v>
      </c>
    </row>
  </sheetData>
  <printOptions horizontalCentered="1"/>
  <pageMargins left="0.6692913385826772" right="0.27559055118110237" top="0.6692913385826772" bottom="0.67" header="0.51181102362204722" footer="0.43307086614173229"/>
  <pageSetup paperSize="9" scale="95" orientation="landscape" blackAndWhite="1" r:id="rId1"/>
  <headerFooter alignWithMargins="0">
    <oddFooter>&amp;R&amp;P+33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28</vt:i4>
      </vt:variant>
      <vt:variant>
        <vt:lpstr>Диаграммы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63" baseType="lpstr">
      <vt:lpstr>ИЖД</vt:lpstr>
      <vt:lpstr>МКД для населения</vt:lpstr>
      <vt:lpstr>МКД с НФУ для населения</vt:lpstr>
      <vt:lpstr>Расчет тариф ставки (2)</vt:lpstr>
      <vt:lpstr>Прил 3.1</vt:lpstr>
      <vt:lpstr>стоимость</vt:lpstr>
      <vt:lpstr>стоимость (с Прейс 2011)</vt:lpstr>
      <vt:lpstr>Физлица (инд. дом) 29 мая  (2)</vt:lpstr>
      <vt:lpstr>Лист1</vt:lpstr>
      <vt:lpstr>Физлица (инд.дом) Прилож №1 </vt:lpstr>
      <vt:lpstr>Физлица (мног. дом) Прилож №3</vt:lpstr>
      <vt:lpstr>Прейскурант 06 апреля06г.</vt:lpstr>
      <vt:lpstr>1 этаж (2011)</vt:lpstr>
      <vt:lpstr>2 этажа (2011)</vt:lpstr>
      <vt:lpstr>3 этажа (2011)</vt:lpstr>
      <vt:lpstr>4 этажа (2011)</vt:lpstr>
      <vt:lpstr>5 этажей  (2011)</vt:lpstr>
      <vt:lpstr>6 этажей  (2011)</vt:lpstr>
      <vt:lpstr>7 этажей  (2011)</vt:lpstr>
      <vt:lpstr>8 этажей  (2011)</vt:lpstr>
      <vt:lpstr>9 этажей  (2011)</vt:lpstr>
      <vt:lpstr>10 этажей  (2011)</vt:lpstr>
      <vt:lpstr>1 этаж (2011 с колонками)</vt:lpstr>
      <vt:lpstr>2 этажа (2011 с колонками)</vt:lpstr>
      <vt:lpstr>3 этажа (2011 с колонками)</vt:lpstr>
      <vt:lpstr>4 этажа (2011с колонками)</vt:lpstr>
      <vt:lpstr>5 этажей  (2011 с колонками)</vt:lpstr>
      <vt:lpstr>разница</vt:lpstr>
      <vt:lpstr>Диаграмма2</vt:lpstr>
      <vt:lpstr>Диаграмма2 (2)</vt:lpstr>
      <vt:lpstr>Диаграмма2 (3)</vt:lpstr>
      <vt:lpstr>Диаграмма2 (4)</vt:lpstr>
      <vt:lpstr>Лист1!Заголовки_для_печати</vt:lpstr>
      <vt:lpstr>'МКД для населения'!Заголовки_для_печати</vt:lpstr>
      <vt:lpstr>'Прейскурант 06 апреля06г.'!Заголовки_для_печати</vt:lpstr>
      <vt:lpstr>'Расчет тариф ставки (2)'!Заголовки_для_печати</vt:lpstr>
      <vt:lpstr>'Физлица (инд.дом) Прилож №1 '!Заголовки_для_печати</vt:lpstr>
      <vt:lpstr>'Физлица (мног. дом) Прилож №3'!Заголовки_для_печати</vt:lpstr>
      <vt:lpstr>'1 этаж (2011 с колонками)'!Область_печати</vt:lpstr>
      <vt:lpstr>'1 этаж (2011)'!Область_печати</vt:lpstr>
      <vt:lpstr>'10 этажей  (2011)'!Область_печати</vt:lpstr>
      <vt:lpstr>'2 этажа (2011 с колонками)'!Область_печати</vt:lpstr>
      <vt:lpstr>'2 этажа (2011)'!Область_печати</vt:lpstr>
      <vt:lpstr>'3 этажа (2011 с колонками)'!Область_печати</vt:lpstr>
      <vt:lpstr>'3 этажа (2011)'!Область_печати</vt:lpstr>
      <vt:lpstr>'4 этажа (2011)'!Область_печати</vt:lpstr>
      <vt:lpstr>'4 этажа (2011с колонками)'!Область_печати</vt:lpstr>
      <vt:lpstr>'5 этажей  (2011 с колонками)'!Область_печати</vt:lpstr>
      <vt:lpstr>'5 этажей  (2011)'!Область_печати</vt:lpstr>
      <vt:lpstr>'6 этажей  (2011)'!Область_печати</vt:lpstr>
      <vt:lpstr>'7 этажей  (2011)'!Область_печати</vt:lpstr>
      <vt:lpstr>'8 этажей  (2011)'!Область_печати</vt:lpstr>
      <vt:lpstr>'9 этажей  (2011)'!Область_печати</vt:lpstr>
      <vt:lpstr>ИЖД!Область_печати</vt:lpstr>
      <vt:lpstr>'МКД для населения'!Область_печати</vt:lpstr>
      <vt:lpstr>'МКД с НФУ для населения'!Область_печати</vt:lpstr>
      <vt:lpstr>'Прейскурант 06 апреля06г.'!Область_печати</vt:lpstr>
      <vt:lpstr>'Прил 3.1'!Область_печати</vt:lpstr>
      <vt:lpstr>разница!Область_печати</vt:lpstr>
      <vt:lpstr>'Расчет тариф ставки (2)'!Область_печати</vt:lpstr>
      <vt:lpstr>'Физлица (инд. дом) 29 мая  (2)'!Область_печати</vt:lpstr>
      <vt:lpstr>'Физлица (инд.дом) Прилож №1 '!Область_печати</vt:lpstr>
      <vt:lpstr>'Физлица (мног. дом) Прилож №3'!Область_печати</vt:lpstr>
    </vt:vector>
  </TitlesOfParts>
  <Company>svgc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Pokoeva</dc:creator>
  <cp:lastModifiedBy>Василевская Анастасия Михайловна</cp:lastModifiedBy>
  <cp:lastPrinted>2016-04-14T09:10:52Z</cp:lastPrinted>
  <dcterms:created xsi:type="dcterms:W3CDTF">2007-11-19T05:22:52Z</dcterms:created>
  <dcterms:modified xsi:type="dcterms:W3CDTF">2016-06-30T10:53:04Z</dcterms:modified>
</cp:coreProperties>
</file>